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aGJfvWVipQTjt5Lp1sMMr6N1F48jvxe8q/WsLmkUVGUwyMmobq9We7qkjIXYniNGG4LUhRz1C6GUjeEp81j4g==" workbookSaltValue="rQ/GogHPioFISRqghoVS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J16" i="11"/>
  <c r="AP22" i="20"/>
  <c r="AP16" i="20"/>
  <c r="R25" i="14"/>
  <c r="V20" i="11"/>
  <c r="BL25" i="11"/>
  <c r="BG19" i="11"/>
  <c r="AZ9" i="11"/>
  <c r="AZ31" i="11" s="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F16" i="11"/>
  <c r="AQ16" i="11" s="1"/>
  <c r="T31" i="8"/>
  <c r="BG17" i="13"/>
  <c r="X12" i="21"/>
  <c r="BF11" i="11"/>
  <c r="BH21" i="16"/>
  <c r="BL9" i="11"/>
  <c r="BH18" i="16"/>
  <c r="BF19" i="11"/>
  <c r="BJ19" i="11"/>
  <c r="BL18" i="11"/>
  <c r="BI28" i="11"/>
  <c r="BK12" i="11"/>
  <c r="BF25" i="11"/>
  <c r="S18" i="16"/>
  <c r="AZ29" i="11"/>
  <c r="V18" i="16"/>
  <c r="S9" i="17"/>
  <c r="BG29" i="11"/>
  <c r="BI10" i="11"/>
  <c r="Q10" i="21"/>
  <c r="BM25" i="11"/>
  <c r="BK25"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X13" i="16"/>
  <c r="V9" i="16"/>
  <c r="V10" i="16"/>
  <c r="U9" i="17"/>
  <c r="U31" i="17" s="1"/>
  <c r="L20" i="2"/>
  <c r="X10" i="21"/>
  <c r="X19" i="16"/>
  <c r="L12" i="2"/>
  <c r="S17" i="17"/>
  <c r="S16" i="17"/>
  <c r="X22" i="16"/>
  <c r="L22" i="2"/>
  <c r="X12" i="17"/>
  <c r="BH22" i="11"/>
  <c r="BL17" i="11"/>
  <c r="BK22" i="11"/>
  <c r="BJ17" i="11"/>
  <c r="BH12" i="16"/>
  <c r="AO25" i="17"/>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K9" i="12"/>
  <c r="S2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<sst xmlns="http://schemas.openxmlformats.org/spreadsheetml/2006/main" count="2654" uniqueCount="1185">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</sst>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dnhIbGahcXc3sT7u/f1QCC8A3uqqvc2M9nG1Piq7g/OkdY+0EMJs1GBlPZoYa5ibO1KzOAf2MymUZ8TJNGTLQ==" saltValue="7Zq1JITrH8CWUGwpMzUN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29.687420584498092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114</v>
      </c>
      <c r="D10" s="239">
        <f>IF(ISNUMBER(Datos!I10),Datos!I10," - ")</f>
        <v>114</v>
      </c>
      <c r="E10" s="240">
        <f>IF(ISNUMBER(Datos!J10),Datos!J10," - ")</f>
        <v>36</v>
      </c>
      <c r="F10" s="240">
        <f>IF(ISNUMBER(Datos!K10),Datos!K10," - ")</f>
        <v>36</v>
      </c>
      <c r="G10" s="1390" t="str">
        <f>IF(Datos!E10&lt;&gt;"",Datos!E10,Datos!D10)</f>
        <v>37</v>
      </c>
      <c r="H10" s="241">
        <f>IF(ISNUMBER(Datos!L10),Datos!L10," - ")</f>
        <v>114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34.833333333333329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114</v>
      </c>
      <c r="D14" s="1407">
        <f>SUBTOTAL(9,D9:D13)</f>
        <v>114</v>
      </c>
      <c r="E14" s="1408">
        <f>SUBTOTAL(9,E9:E13)</f>
        <v>36</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1751</v>
      </c>
      <c r="D16" s="239">
        <f>IF(ISNUMBER(IF(D_I="SI",Datos!I16,Datos!I16+Datos!AC16)),IF(D_I="SI",Datos!I16,Datos!I16+Datos!AC16)," - ")</f>
        <v>1714</v>
      </c>
      <c r="E16" s="240">
        <f>IF(ISNUMBER(IF(D_I="SI",Datos!J16,Datos!J16+Datos!AD16)),IF(D_I="SI",Datos!J16,Datos!J16+Datos!AD16)," - ")</f>
        <v>2128</v>
      </c>
      <c r="F16" s="240">
        <f>IF(ISNUMBER(IF(D_I="SI",Datos!K16,Datos!K16+Datos!AE16)),IF(D_I="SI",Datos!K16,Datos!K16+Datos!AE16)," - ")</f>
        <v>2216</v>
      </c>
      <c r="G16" s="1390" t="str">
        <f>IF(Datos!E16&lt;&gt;"",Datos!E16,Datos!D16)</f>
        <v>03</v>
      </c>
      <c r="H16" s="241">
        <f>IF(ISNUMBER(IF(D_I="SI",Datos!L16,Datos!L16+Datos!AF16)),IF(D_I="SI",Datos!L16,Datos!L16+Datos!AF16)," - ")</f>
        <v>1663</v>
      </c>
      <c r="I16" s="1400" t="str">
        <f>IF(ISNUMBER(Datos!AS16/Datos!BM16),Datos!AS16/Datos!BM16," - ")</f>
        <v xml:space="preserve"> - </v>
      </c>
      <c r="J16" s="1401">
        <f>IF(ISNUMBER(Datos!BY16/Datos!CN16),Datos!BY16/Datos!CN16," - ")</f>
        <v>0</v>
      </c>
      <c r="K16" s="244">
        <f t="shared" ref="K16:K22" si="3">IF(ISNUMBER((E16-F16)/C16),(E16-F16)/C16," - ")</f>
        <v>-5.0256996002284407E-2</v>
      </c>
      <c r="L16" s="1402">
        <f>IF(ISNUMBER(NºAsuntos!I16/NºAsuntos!G16),(NºAsuntos!I16/NºAsuntos!G16)*11," - ")</f>
        <v>8.2549638989169676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209</v>
      </c>
      <c r="D18" s="239">
        <f>IF(ISNUMBER(IF(D_I="SI",Datos!I18,Datos!I18+Datos!AC18)),IF(D_I="SI",Datos!I18,Datos!I18+Datos!AC18)," - ")</f>
        <v>209</v>
      </c>
      <c r="E18" s="240">
        <f>IF(ISNUMBER(IF(D_I="SI",Datos!J18,Datos!J18+Datos!AD18)),IF(D_I="SI",Datos!J18,Datos!J18+Datos!AD18)," - ")</f>
        <v>379</v>
      </c>
      <c r="F18" s="240">
        <f>IF(ISNUMBER(IF(D_I="SI",Datos!K18,Datos!K18+Datos!AE18)),IF(D_I="SI",Datos!K18,Datos!K18+Datos!AE18)," - ")</f>
        <v>367</v>
      </c>
      <c r="G18" s="1390" t="str">
        <f>IF(Datos!E18&lt;&gt;"",Datos!E18,Datos!D18)</f>
        <v>37</v>
      </c>
      <c r="H18" s="241">
        <f>IF(ISNUMBER(IF(D_I="SI",Datos!L18,Datos!L18+Datos!AF18)),IF(D_I="SI",Datos!L18,Datos!L18+Datos!AF18)," - ")</f>
        <v>221</v>
      </c>
      <c r="I18" s="1400" t="str">
        <f>IF(ISNUMBER(Datos!AS18/Datos!BM18),Datos!AS18/Datos!BM18," - ")</f>
        <v xml:space="preserve"> - </v>
      </c>
      <c r="J18" s="1401" t="str">
        <f>IF(ISNUMBER((Datos!BY18+Datos!BZ18)/Datos!CN18),(Datos!BY18+Datos!BZ18)/Datos!CN18," - ")</f>
        <v xml:space="preserve"> - </v>
      </c>
      <c r="K18" s="244">
        <f t="shared" si="3"/>
        <v>5.7416267942583733E-2</v>
      </c>
      <c r="L18" s="1402">
        <f>IF(ISNUMBER(NºAsuntos!I18/NºAsuntos!G18),(NºAsuntos!I18/NºAsuntos!G18)*11," - ")</f>
        <v>6.6239782016348778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1962</v>
      </c>
      <c r="D23" s="1407">
        <f>SUBTOTAL(9,D16:D22)</f>
        <v>1925</v>
      </c>
      <c r="E23" s="1408">
        <f>SUBTOTAL(9,E16:E22)</f>
        <v>2507</v>
      </c>
      <c r="F23" s="1408">
        <f>SUBTOTAL(9,F16:F22)</f>
        <v>2583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2076</v>
      </c>
      <c r="D31" s="1435">
        <f>SUBTOTAL(9,D9:D30)</f>
        <v>2039</v>
      </c>
      <c r="E31" s="1436">
        <f>SUBTOTAL(9,E9:E30)</f>
        <v>2543</v>
      </c>
      <c r="F31" s="1436">
        <f>SUBTOTAL(9,F9:F30)</f>
        <v>2619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7wRAGT7m1kupjYqTbbPAELLKHhUPk5f3zMb6bGqQ8cbvrOIEBOKi8kRNpszkFHUIMfMvF68IE4ir9eqObVoqQ==" saltValue="RdtM4FElwpwsa+P0/kQt8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DbpYmyzYjrpT5fbXJXfSLN8z7MiSIpkh6AC96r9A36TYWqpgCeZcvfNug3SPYd+M8Iaxq3ne6peHISpcdC2iA==" saltValue="Qx9e5zvpE2PAJzCreUTn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5657</v>
      </c>
      <c r="J9" s="194">
        <v>2505</v>
      </c>
      <c r="K9" s="194">
        <v>2105</v>
      </c>
      <c r="L9" s="194">
        <v>6069</v>
      </c>
      <c r="M9" s="194">
        <v>527</v>
      </c>
      <c r="N9" s="194">
        <v>1050</v>
      </c>
      <c r="O9" s="194">
        <v>1080</v>
      </c>
      <c r="P9" s="194">
        <v>655</v>
      </c>
      <c r="Q9" s="194">
        <v>493</v>
      </c>
      <c r="R9" s="194">
        <v>15146</v>
      </c>
      <c r="S9" s="194">
        <v>5613</v>
      </c>
      <c r="T9" s="194">
        <v>2197</v>
      </c>
      <c r="U9" s="194">
        <v>2349</v>
      </c>
      <c r="V9" s="194">
        <v>5307</v>
      </c>
      <c r="W9" s="194">
        <v>545</v>
      </c>
      <c r="X9" s="201">
        <v>1113</v>
      </c>
      <c r="Y9" s="204">
        <v>319</v>
      </c>
      <c r="Z9" s="194">
        <v>227</v>
      </c>
      <c r="AA9" s="194">
        <v>256</v>
      </c>
      <c r="AB9" s="194">
        <v>303</v>
      </c>
      <c r="AC9" s="194">
        <v>0</v>
      </c>
      <c r="AD9" s="194">
        <v>0</v>
      </c>
      <c r="AE9" s="194">
        <v>0</v>
      </c>
      <c r="AF9" s="201">
        <v>0</v>
      </c>
      <c r="AG9" s="204">
        <v>251</v>
      </c>
      <c r="AH9" s="194">
        <v>238</v>
      </c>
      <c r="AI9" s="194">
        <v>270</v>
      </c>
      <c r="AJ9" s="205">
        <v>249</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5864</v>
      </c>
      <c r="AZ9" s="133">
        <f>IF(ISNUMBER(IF(J_V="SI",T9,T9+AH9)),IF(J_V="SI",T9,T9+AH9)," - ")</f>
        <v>2435</v>
      </c>
      <c r="BA9" s="134">
        <f>IF(ISNUMBER(IF(J_V="SI",U9,U9+AI9)),IF(J_V="SI",U9,U9+AI9)," - ")</f>
        <v>2619</v>
      </c>
      <c r="BB9" s="134">
        <f>IF(ISNUMBER(IF(J_V="SI",V9,V9+AJ9)),IF(J_V="SI",V9,V9+AJ9)," - ")</f>
        <v>5556</v>
      </c>
      <c r="BC9" s="135">
        <f>IF(ISNUMBER(X9),X9," - ")</f>
        <v>1113</v>
      </c>
      <c r="BD9" s="136">
        <f>IF(ISNUMBER(BA9/AZ9),BA9/AZ9," - ")</f>
        <v>1.0755646817248461</v>
      </c>
      <c r="BE9" s="137">
        <f>IF(ISNUMBER(BB9/BA9),BB9/BA9, " - ")</f>
        <v>2.1214203894616266</v>
      </c>
      <c r="BF9" s="137">
        <f>IF(ISNUMBER(BC9/BA9),BC9/BA9, " - ")</f>
        <v>0.424971363115693</v>
      </c>
      <c r="BG9" s="209">
        <f>IF(ISNUMBER((AY9+AZ9)/BA9),(AY9+AZ9)/BA9," - ")</f>
        <v>3.1687667048491792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114</v>
      </c>
      <c r="J10" s="194">
        <v>36</v>
      </c>
      <c r="K10" s="194">
        <v>36</v>
      </c>
      <c r="L10" s="194">
        <v>114</v>
      </c>
      <c r="M10" s="194">
        <v>18</v>
      </c>
      <c r="N10" s="194">
        <v>14</v>
      </c>
      <c r="O10" s="194">
        <v>9</v>
      </c>
      <c r="P10" s="194">
        <v>13</v>
      </c>
      <c r="Q10" s="194">
        <v>5</v>
      </c>
      <c r="R10" s="194">
        <v>175</v>
      </c>
      <c r="S10" s="194">
        <v>154</v>
      </c>
      <c r="T10" s="194">
        <v>48</v>
      </c>
      <c r="U10" s="194">
        <v>51</v>
      </c>
      <c r="V10" s="194">
        <v>151</v>
      </c>
      <c r="W10" s="194">
        <v>26</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154</v>
      </c>
      <c r="AZ10" s="139">
        <f t="shared" si="0"/>
        <v>48</v>
      </c>
      <c r="BA10" s="139">
        <f t="shared" si="0"/>
        <v>51</v>
      </c>
      <c r="BB10" s="139">
        <f t="shared" si="0"/>
        <v>151</v>
      </c>
      <c r="BC10" s="135">
        <f t="shared" si="0"/>
        <v>26</v>
      </c>
      <c r="BD10" s="136">
        <f>IF(ISNUMBER(BA10/AZ10),BA10/AZ10," - ")</f>
        <v>1.0625</v>
      </c>
      <c r="BE10" s="137">
        <f>IF(ISNUMBER(BB10/BA10),BB10/BA10, " - ")</f>
        <v>2.9607843137254903</v>
      </c>
      <c r="BF10" s="137">
        <f>IF(ISNUMBER(BC10/BA10),BC10/BA10, " - ")</f>
        <v>0.50980392156862742</v>
      </c>
      <c r="BG10" s="209">
        <f>IF(ISNUMBER((AY10+AZ10)/BA10),(AY10+AZ10)/BA10," - ")</f>
        <v>3.9607843137254903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v>
      </c>
      <c r="J12" s="196">
        <v>0</v>
      </c>
      <c r="K12" s="196">
        <v>2</v>
      </c>
      <c r="L12" s="196">
        <v>0</v>
      </c>
      <c r="M12" s="196">
        <v>0</v>
      </c>
      <c r="N12" s="196">
        <v>0</v>
      </c>
      <c r="O12" s="194">
        <v>2</v>
      </c>
      <c r="P12" s="196">
        <v>0</v>
      </c>
      <c r="Q12" s="196">
        <v>0</v>
      </c>
      <c r="R12" s="196">
        <v>0</v>
      </c>
      <c r="S12" s="196">
        <v>3</v>
      </c>
      <c r="T12" s="196">
        <v>0</v>
      </c>
      <c r="U12" s="196">
        <v>0</v>
      </c>
      <c r="V12" s="196">
        <v>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0</v>
      </c>
      <c r="BB12" s="137">
        <f t="shared" si="1"/>
        <v>3</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5774</v>
      </c>
      <c r="J14" s="197">
        <f t="shared" si="7"/>
        <v>2541</v>
      </c>
      <c r="K14" s="197">
        <f t="shared" si="7"/>
        <v>2143</v>
      </c>
      <c r="L14" s="197">
        <f t="shared" si="7"/>
        <v>6183</v>
      </c>
      <c r="M14" s="197">
        <f t="shared" si="7"/>
        <v>545</v>
      </c>
      <c r="N14" s="197">
        <f t="shared" si="7"/>
        <v>1064</v>
      </c>
      <c r="O14" s="197">
        <f t="shared" si="7"/>
        <v>1091</v>
      </c>
      <c r="P14" s="197">
        <f t="shared" si="7"/>
        <v>668</v>
      </c>
      <c r="Q14" s="197">
        <f t="shared" si="7"/>
        <v>498</v>
      </c>
      <c r="R14" s="197">
        <f t="shared" si="7"/>
        <v>15321</v>
      </c>
      <c r="S14" s="197">
        <f t="shared" si="7"/>
        <v>5770</v>
      </c>
      <c r="T14" s="197">
        <f t="shared" si="7"/>
        <v>2245</v>
      </c>
      <c r="U14" s="197">
        <f t="shared" si="7"/>
        <v>2400</v>
      </c>
      <c r="V14" s="197">
        <f t="shared" si="7"/>
        <v>5461</v>
      </c>
      <c r="W14" s="197">
        <f t="shared" si="7"/>
        <v>571</v>
      </c>
      <c r="X14" s="197">
        <f t="shared" si="7"/>
        <v>1126</v>
      </c>
      <c r="Y14" s="197">
        <f t="shared" si="7"/>
        <v>319</v>
      </c>
      <c r="Z14" s="197">
        <f t="shared" si="7"/>
        <v>227</v>
      </c>
      <c r="AA14" s="197">
        <f t="shared" si="7"/>
        <v>256</v>
      </c>
      <c r="AB14" s="197">
        <f t="shared" si="7"/>
        <v>303</v>
      </c>
      <c r="AC14" s="197">
        <f t="shared" si="7"/>
        <v>0</v>
      </c>
      <c r="AD14" s="197">
        <f t="shared" si="7"/>
        <v>0</v>
      </c>
      <c r="AE14" s="197">
        <f t="shared" si="7"/>
        <v>0</v>
      </c>
      <c r="AF14" s="197">
        <f>SUBTOTAL(9,AF9:AF13)</f>
        <v>0</v>
      </c>
      <c r="AG14" s="197">
        <f t="shared" ref="AG14:AT14" si="8">SUBTOTAL(9,AG8:AG13)</f>
        <v>251</v>
      </c>
      <c r="AH14" s="197">
        <f t="shared" si="8"/>
        <v>238</v>
      </c>
      <c r="AI14" s="197">
        <f t="shared" si="8"/>
        <v>270</v>
      </c>
      <c r="AJ14" s="197">
        <f t="shared" si="8"/>
        <v>249</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6021</v>
      </c>
      <c r="AZ14" s="197">
        <f>SUBTOTAL(9,AZ8:AZ13)</f>
        <v>2483</v>
      </c>
      <c r="BA14" s="197">
        <f>SUBTOTAL(9,BA8:BA13)</f>
        <v>2670</v>
      </c>
      <c r="BB14" s="197">
        <f>SUBTOTAL(9,BB8:BB13)</f>
        <v>5710</v>
      </c>
      <c r="BC14" s="197">
        <f>SUBTOTAL(9,BC8:BC13)</f>
        <v>1139</v>
      </c>
      <c r="BD14" s="219">
        <f>IF(ISNUMBER(BA14/AZ14),BA14/AZ14," - ")</f>
        <v>1.0753121224325413</v>
      </c>
      <c r="BE14" s="220">
        <f>IF(ISNUMBER(BB14/BA14),BB14/BA14, " - ")</f>
        <v>2.1385767790262173</v>
      </c>
      <c r="BF14" s="220">
        <f>IF(ISNUMBER(BC14/BA14),BC14/BA14, " - ")</f>
        <v>0.42659176029962548</v>
      </c>
      <c r="BG14" s="221">
        <f>IF(ISNUMBER((AY14+AZ14)/BA14),(AY14+AZ14)/BA14," - ")</f>
        <v>3.1850187265917604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1714</v>
      </c>
      <c r="J16" s="196">
        <v>2128</v>
      </c>
      <c r="K16" s="196">
        <v>2216</v>
      </c>
      <c r="L16" s="196">
        <v>1663</v>
      </c>
      <c r="M16" s="196">
        <v>445</v>
      </c>
      <c r="N16" s="196">
        <v>1125</v>
      </c>
      <c r="O16" s="194">
        <v>52</v>
      </c>
      <c r="P16" s="196">
        <v>79</v>
      </c>
      <c r="Q16" s="196">
        <v>99</v>
      </c>
      <c r="R16" s="196">
        <v>220</v>
      </c>
      <c r="S16" s="196">
        <v>1707</v>
      </c>
      <c r="T16" s="196">
        <v>2020</v>
      </c>
      <c r="U16" s="196">
        <v>2290</v>
      </c>
      <c r="V16" s="196">
        <v>1449</v>
      </c>
      <c r="W16" s="196">
        <v>411</v>
      </c>
      <c r="X16" s="202">
        <v>1292</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1707</v>
      </c>
      <c r="AZ16" s="139">
        <f t="shared" si="10"/>
        <v>2020</v>
      </c>
      <c r="BA16" s="139">
        <f t="shared" si="10"/>
        <v>2290</v>
      </c>
      <c r="BB16" s="139">
        <f t="shared" si="10"/>
        <v>1449</v>
      </c>
      <c r="BC16" s="135">
        <f>IF(ISNUMBER(W16),W16," - ")</f>
        <v>411</v>
      </c>
      <c r="BD16" s="136">
        <f>IF(ISNUMBER(BA16/AZ16),BA16/AZ16," - ")</f>
        <v>1.1336633663366336</v>
      </c>
      <c r="BE16" s="137">
        <f>IF(ISNUMBER(BB16/BA16),BB16/BA16, " - ")</f>
        <v>0.63275109170305677</v>
      </c>
      <c r="BF16" s="137">
        <f>IF(ISNUMBER(BC16/BA16),BC16/BA16, " - ")</f>
        <v>0.1794759825327511</v>
      </c>
      <c r="BG16" s="209">
        <f t="shared" ref="BG16:BG22" si="11">IF(ISNUMBER((AY16+AZ16)/BA16),(AY16+AZ16)/BA16," - ")</f>
        <v>1.6275109170305677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4</v>
      </c>
      <c r="T17" s="196">
        <v>0</v>
      </c>
      <c r="U17" s="196">
        <v>1</v>
      </c>
      <c r="V17" s="196">
        <v>3</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4</v>
      </c>
      <c r="AZ17" s="137">
        <f t="shared" si="10"/>
        <v>0</v>
      </c>
      <c r="BA17" s="137">
        <f t="shared" si="10"/>
        <v>1</v>
      </c>
      <c r="BB17" s="137">
        <f t="shared" si="10"/>
        <v>3</v>
      </c>
      <c r="BC17" s="135">
        <f>IF(ISNUMBER(W17),W17," - ")</f>
        <v>0</v>
      </c>
      <c r="BD17" s="136" t="str">
        <f t="shared" ref="BD17:BD22" si="12">IF(ISNUMBER(BA17/AZ17),BA17/AZ17," - ")</f>
        <v xml:space="preserve"> - </v>
      </c>
      <c r="BE17" s="137">
        <f t="shared" ref="BE17:BE22" si="13">IF(ISNUMBER(BB17/BA17),BB17/BA17, " - ")</f>
        <v>3</v>
      </c>
      <c r="BF17" s="137">
        <f t="shared" ref="BF17:BF22" si="14">IF(ISNUMBER(BC17/BA17),BC17/BA17, " - ")</f>
        <v>0</v>
      </c>
      <c r="BG17" s="209">
        <f t="shared" si="11"/>
        <v>4</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209</v>
      </c>
      <c r="J18" s="196">
        <v>379</v>
      </c>
      <c r="K18" s="196">
        <v>367</v>
      </c>
      <c r="L18" s="196">
        <v>221</v>
      </c>
      <c r="M18" s="196">
        <v>64</v>
      </c>
      <c r="N18" s="196">
        <v>251</v>
      </c>
      <c r="O18" s="196">
        <v>0</v>
      </c>
      <c r="P18" s="196">
        <v>12</v>
      </c>
      <c r="Q18" s="196">
        <v>15</v>
      </c>
      <c r="R18" s="196">
        <v>12</v>
      </c>
      <c r="S18" s="196">
        <v>223</v>
      </c>
      <c r="T18" s="196">
        <v>310</v>
      </c>
      <c r="U18" s="196">
        <v>358</v>
      </c>
      <c r="V18" s="196">
        <v>175</v>
      </c>
      <c r="W18" s="196">
        <v>53</v>
      </c>
      <c r="X18" s="202">
        <v>198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223</v>
      </c>
      <c r="AZ18" s="139">
        <f t="shared" si="15"/>
        <v>310</v>
      </c>
      <c r="BA18" s="139">
        <f t="shared" si="15"/>
        <v>358</v>
      </c>
      <c r="BB18" s="139">
        <f t="shared" si="15"/>
        <v>175</v>
      </c>
      <c r="BC18" s="135">
        <f>IF(ISNUMBER(W18),W18," - ")</f>
        <v>53</v>
      </c>
      <c r="BD18" s="136">
        <f>IF(ISNUMBER(BA18/AZ18),BA18/AZ18," - ")</f>
        <v>1.1548387096774193</v>
      </c>
      <c r="BE18" s="137">
        <f>IF(ISNUMBER(BB18/BA18),BB18/BA18, " - ")</f>
        <v>0.48882681564245811</v>
      </c>
      <c r="BF18" s="137">
        <f>IF(ISNUMBER(BC18/BA18),BC18/BA18, " - ")</f>
        <v>0.14804469273743018</v>
      </c>
      <c r="BG18" s="209">
        <f>IF(ISNUMBER((AY18+AZ18)/BA18),(AY18+AZ18)/BA18," - ")</f>
        <v>1.488826815642458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1925</v>
      </c>
      <c r="J23" s="197">
        <f t="shared" si="21"/>
        <v>2507</v>
      </c>
      <c r="K23" s="197">
        <f t="shared" si="21"/>
        <v>2583</v>
      </c>
      <c r="L23" s="197">
        <f t="shared" si="21"/>
        <v>1886</v>
      </c>
      <c r="M23" s="197">
        <f t="shared" si="21"/>
        <v>509</v>
      </c>
      <c r="N23" s="197">
        <f t="shared" si="21"/>
        <v>1376</v>
      </c>
      <c r="O23" s="197">
        <f t="shared" si="21"/>
        <v>52</v>
      </c>
      <c r="P23" s="197">
        <f t="shared" si="21"/>
        <v>91</v>
      </c>
      <c r="Q23" s="197">
        <f t="shared" si="21"/>
        <v>114</v>
      </c>
      <c r="R23" s="197">
        <f t="shared" si="21"/>
        <v>232</v>
      </c>
      <c r="S23" s="197">
        <f t="shared" si="21"/>
        <v>1934</v>
      </c>
      <c r="T23" s="197">
        <f t="shared" si="21"/>
        <v>2330</v>
      </c>
      <c r="U23" s="197">
        <f t="shared" si="21"/>
        <v>2649</v>
      </c>
      <c r="V23" s="197">
        <f t="shared" si="21"/>
        <v>1627</v>
      </c>
      <c r="W23" s="197">
        <f t="shared" si="21"/>
        <v>464</v>
      </c>
      <c r="X23" s="197">
        <f t="shared" si="21"/>
        <v>1490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1934</v>
      </c>
      <c r="AZ23" s="197">
        <f>SUBTOTAL(9,AZ15:AZ22)</f>
        <v>2330</v>
      </c>
      <c r="BA23" s="197">
        <f>SUBTOTAL(9,BA15:BA22)</f>
        <v>2649</v>
      </c>
      <c r="BB23" s="197">
        <f>SUBTOTAL(9,BB15:BB22)</f>
        <v>1627</v>
      </c>
      <c r="BC23" s="197">
        <f>SUBTOTAL(9,BC15:BC22)</f>
        <v>464</v>
      </c>
      <c r="BD23" s="219">
        <f>IF(ISNUMBER(BA23/AZ23),BA23/AZ23," - ")</f>
        <v>1.1369098712446353</v>
      </c>
      <c r="BE23" s="220">
        <f>IF(ISNUMBER(BB23/BA23),BB23/BA23, " - ")</f>
        <v>0.61419403548508866</v>
      </c>
      <c r="BF23" s="220">
        <f>IF(ISNUMBER(BC23/BA23),BC23/BA23, " - ")</f>
        <v>0.17516043790109476</v>
      </c>
      <c r="BG23" s="221">
        <f>IF(ISNUMBER((AY23+AZ23)/BA23),(AY23+AZ23)/BA23," - ")</f>
        <v>1.6096640241600604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7699</v>
      </c>
      <c r="J31" s="144">
        <f t="shared" si="36"/>
        <v>5048</v>
      </c>
      <c r="K31" s="144">
        <f t="shared" si="36"/>
        <v>4726</v>
      </c>
      <c r="L31" s="144">
        <f t="shared" si="36"/>
        <v>8069</v>
      </c>
      <c r="M31" s="144">
        <f t="shared" si="36"/>
        <v>1054</v>
      </c>
      <c r="N31" s="144">
        <f t="shared" si="36"/>
        <v>2440</v>
      </c>
      <c r="O31" s="144">
        <f t="shared" si="36"/>
        <v>1143</v>
      </c>
      <c r="P31" s="144">
        <f t="shared" si="36"/>
        <v>759</v>
      </c>
      <c r="Q31" s="144">
        <f t="shared" si="36"/>
        <v>612</v>
      </c>
      <c r="R31" s="144">
        <f t="shared" si="36"/>
        <v>15553</v>
      </c>
      <c r="S31" s="144">
        <f t="shared" si="36"/>
        <v>7704</v>
      </c>
      <c r="T31" s="144">
        <f t="shared" si="36"/>
        <v>4575</v>
      </c>
      <c r="U31" s="144">
        <f t="shared" si="36"/>
        <v>5049</v>
      </c>
      <c r="V31" s="144">
        <f t="shared" si="36"/>
        <v>7088</v>
      </c>
      <c r="W31" s="144">
        <f t="shared" si="36"/>
        <v>1035</v>
      </c>
      <c r="X31" s="144">
        <f t="shared" si="36"/>
        <v>2616</v>
      </c>
      <c r="Y31" s="144">
        <f t="shared" si="36"/>
        <v>319</v>
      </c>
      <c r="Z31" s="144">
        <f t="shared" si="36"/>
        <v>227</v>
      </c>
      <c r="AA31" s="144">
        <f t="shared" si="36"/>
        <v>256</v>
      </c>
      <c r="AB31" s="144">
        <f t="shared" si="36"/>
        <v>303</v>
      </c>
      <c r="AC31" s="144">
        <f t="shared" si="36"/>
        <v>0</v>
      </c>
      <c r="AD31" s="144">
        <f t="shared" si="36"/>
        <v>0</v>
      </c>
      <c r="AE31" s="144">
        <f t="shared" si="36"/>
        <v>0</v>
      </c>
      <c r="AF31" s="144">
        <f t="shared" si="36"/>
        <v>0</v>
      </c>
      <c r="AG31" s="144">
        <f t="shared" si="36"/>
        <v>251</v>
      </c>
      <c r="AH31" s="144">
        <f t="shared" si="36"/>
        <v>238</v>
      </c>
      <c r="AI31" s="144">
        <f t="shared" si="36"/>
        <v>270</v>
      </c>
      <c r="AJ31" s="144">
        <f t="shared" si="36"/>
        <v>249</v>
      </c>
      <c r="AK31" s="144">
        <f t="shared" si="36"/>
        <v>0</v>
      </c>
      <c r="AL31" s="144">
        <f t="shared" si="36"/>
        <v>0</v>
      </c>
      <c r="AM31" s="144">
        <f t="shared" si="36"/>
        <v>0</v>
      </c>
      <c r="AN31" s="224">
        <f t="shared" si="36"/>
        <v>0</v>
      </c>
      <c r="AO31" s="225">
        <v>10</v>
      </c>
      <c r="AP31" s="225">
        <v>10</v>
      </c>
      <c r="AQ31" s="225">
        <v>10</v>
      </c>
      <c r="AR31" s="225">
        <v>10</v>
      </c>
      <c r="AS31" s="166">
        <f t="shared" si="36"/>
        <v>0</v>
      </c>
      <c r="AT31" s="166">
        <f t="shared" si="36"/>
        <v>0</v>
      </c>
      <c r="AU31" s="225"/>
      <c r="AV31" s="226"/>
      <c r="AW31" s="225"/>
      <c r="AX31" s="226"/>
      <c r="AY31" s="143">
        <f>SUBTOTAL(9,AY9:AY30)</f>
        <v>7955</v>
      </c>
      <c r="AZ31" s="144">
        <f>SUBTOTAL(9,AZ9:AZ30)</f>
        <v>4813</v>
      </c>
      <c r="BA31" s="144">
        <f>SUBTOTAL(9,BA9:BA30)</f>
        <v>5319</v>
      </c>
      <c r="BB31" s="144">
        <f>SUBTOTAL(9,BB9:BB30)</f>
        <v>7337</v>
      </c>
      <c r="BC31" s="145">
        <f>SUBTOTAL(9,BC9:BC30)</f>
        <v>1603</v>
      </c>
      <c r="BD31" s="227">
        <f>IF(ISNUMBER(BA31/AZ31),BA31/AZ31," - ")</f>
        <v>1.1051319343444836</v>
      </c>
      <c r="BE31" s="224">
        <f>IF(ISNUMBER(BB31/BA31),BB31/BA31, " - ")</f>
        <v>1.3793946230494454</v>
      </c>
      <c r="BF31" s="224">
        <f>IF(ISNUMBER(BC31/BA31),BC31/BA31, " - ")</f>
        <v>0.30137243842827599</v>
      </c>
      <c r="BG31" s="145">
        <f>IF(ISNUMBER((AY31+AZ31)/BA31),(AY31+AZ31)/BA31," - ")</f>
        <v>2.4004512126339539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1XViwIEKDYRP+9FMkwlD0Jql1XqfaNe3POTqeHMDub7A3vWm9aViGaHptIw2DP/t55XliMNvpc+tZ512sK3w==" saltValue="p9UpQWsP+IdOyEVifn4K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5LEH+U2yInXLRXdU+awBX+siqfXKSvNmPBkX2F7IKK/nHAvF+Ld3KiYhNgmr6MHJp2blV+Tb9mBcV+3sp4opQ==" saltValue="veh2eocxtx5W6PzFv5GK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ORIHUELA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227</v>
      </c>
      <c r="O9" s="549"/>
      <c r="P9" s="549"/>
      <c r="Q9" s="547">
        <f>IF(ISNUMBER(Datos!P9),Datos!P9,0)</f>
        <v>655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493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303</v>
      </c>
      <c r="AI9" s="549" t="str">
        <f>IF(ISNUMBER(Datos!CD9),Datos!CD9,"-")</f>
        <v>-</v>
      </c>
      <c r="AJ9" s="549" t="str">
        <f>IF(ISNUMBER(Datos!EN9),Datos!EN9," - ")</f>
        <v xml:space="preserve"> - </v>
      </c>
      <c r="AK9" s="549"/>
      <c r="AL9" s="550"/>
      <c r="AM9" s="766">
        <f>IF(ISNUMBER(Datos!R9),Datos!R9," - ")</f>
        <v>15146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527</v>
      </c>
      <c r="BD9" s="693">
        <f>IF(ISNUMBER(Datos!N9),Datos!N9," - ")</f>
        <v>1050</v>
      </c>
      <c r="BE9" s="693" t="str">
        <f>IF(ISNUMBER(Datos!BW9),Datos!BW9," - ")</f>
        <v xml:space="preserve"> - </v>
      </c>
      <c r="BF9" s="762" t="str">
        <f>IF(ISNUMBER(Datos!BX9),Datos!BX9," - ")</f>
        <v xml:space="preserve"> - </v>
      </c>
      <c r="BG9" s="763">
        <f>IF(ISNUMBER(IF(J_V="SI",Datos!K9/Datos!J9,(Datos!K9+Datos!AA9)/(Datos!J9+Datos!Z9))),IF(J_V="SI",Datos!K9/Datos!J9,(Datos!K9+Datos!AA9)/(Datos!J9+Datos!Z9))," - ")</f>
        <v>0.86420204978038062</v>
      </c>
      <c r="BH9" s="764">
        <f>IF(ISNUMBER(((IF(J_V="SI",Datos!L9/Datos!K9,(Datos!L9+Datos!AB9)/(Datos!K9+Datos!AA9)))*11)/factor_trimestre),((IF(J_V="SI",Datos!L9/Datos!K9,(Datos!L9+Datos!AB9)/(Datos!K9+Datos!AA9)))*11)/factor_trimestre," - ")</f>
        <v>8.0965692503176623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1.0811532301121196E-2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114</v>
      </c>
      <c r="G10" s="543">
        <f>IF(ISNUMBER(Datos!I10),Datos!I10," - ")</f>
        <v>114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5</v>
      </c>
      <c r="AD10" s="549"/>
      <c r="AE10" s="563"/>
      <c r="AF10" s="551">
        <f>IF(ISNUMBER(Datos!L10),Datos!L10,"-")</f>
        <v>114</v>
      </c>
      <c r="AG10" s="549"/>
      <c r="AH10" s="549"/>
      <c r="AI10" s="549"/>
      <c r="AJ10" s="549"/>
      <c r="AK10" s="549"/>
      <c r="AL10" s="550"/>
      <c r="AM10" s="766">
        <f>IF(ISNUMBER(Datos!R10),Datos!R10," - ")</f>
        <v>175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9.4999999999999982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4.790419161676647E-2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114</v>
      </c>
      <c r="G14" s="1197">
        <f t="shared" si="1"/>
        <v>114</v>
      </c>
      <c r="H14" s="1198">
        <f t="shared" si="1"/>
        <v>0</v>
      </c>
      <c r="I14" s="1197">
        <f t="shared" si="1"/>
        <v>0</v>
      </c>
      <c r="J14" s="1164">
        <f t="shared" si="1"/>
        <v>0</v>
      </c>
      <c r="K14" s="1164">
        <f t="shared" si="1"/>
        <v>0</v>
      </c>
      <c r="L14" s="1198">
        <f t="shared" si="1"/>
        <v>0</v>
      </c>
      <c r="M14" s="1198">
        <f t="shared" si="1"/>
        <v>0</v>
      </c>
      <c r="N14" s="1198">
        <f t="shared" si="1"/>
        <v>227</v>
      </c>
      <c r="O14" s="1199">
        <f t="shared" si="1"/>
        <v>0</v>
      </c>
      <c r="P14" s="1199">
        <f t="shared" si="1"/>
        <v>0</v>
      </c>
      <c r="Q14" s="1198">
        <f t="shared" si="1"/>
        <v>668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498</v>
      </c>
      <c r="AD14" s="1198">
        <f t="shared" si="2"/>
        <v>0</v>
      </c>
      <c r="AE14" s="1198">
        <f t="shared" si="2"/>
        <v>0</v>
      </c>
      <c r="AF14" s="1198">
        <f t="shared" si="2"/>
        <v>114</v>
      </c>
      <c r="AG14" s="1198">
        <f t="shared" si="2"/>
        <v>0</v>
      </c>
      <c r="AH14" s="1198">
        <f t="shared" si="2"/>
        <v>303</v>
      </c>
      <c r="AI14" s="1198">
        <f t="shared" si="2"/>
        <v>0</v>
      </c>
      <c r="AJ14" s="1198">
        <f t="shared" si="2"/>
        <v>0</v>
      </c>
      <c r="AK14" s="1198">
        <f t="shared" si="2"/>
        <v>0</v>
      </c>
      <c r="AL14" s="1198">
        <f t="shared" si="2"/>
        <v>0</v>
      </c>
      <c r="AM14" s="1198">
        <f t="shared" si="2"/>
        <v>15321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545</v>
      </c>
      <c r="BD14" s="1198">
        <f t="shared" si="2"/>
        <v>1064</v>
      </c>
      <c r="BE14" s="1198">
        <f t="shared" si="2"/>
        <v>0</v>
      </c>
      <c r="BF14" s="1198">
        <f t="shared" si="2"/>
        <v>0</v>
      </c>
      <c r="BG14" s="1198">
        <f>IF(ISNUMBER(Datos!K14/Datos!J14),Datos!K14/Datos!J14," - ")</f>
        <v>0.84336875245966159</v>
      </c>
      <c r="BH14" s="1202">
        <f>IF(ISNUMBER(((Datos!L14/Datos!K14)*11)/factor_trimestre),((Datos!L14/Datos!K14)*11)/factor_trimestre," - ")</f>
        <v>8.6556229584694364</v>
      </c>
      <c r="BI14" s="1198">
        <f>IF(ISNUMBER('Resol  Asuntos'!D14/NºAsuntos!G14),'Resol  Asuntos'!D14/NºAsuntos!G14," - ")</f>
        <v>0.22717799082951229</v>
      </c>
      <c r="BJ14" s="1198" t="str">
        <f>IF(ISNUMBER(Datos!CI14/Datos!CJ14),Datos!CI14/Datos!CJ14," - ")</f>
        <v xml:space="preserve"> - </v>
      </c>
      <c r="BK14" s="1198">
        <f>SUBTOTAL(9,BK8:BK13)</f>
        <v>0</v>
      </c>
      <c r="BL14" s="1198">
        <f>IF(ISNUMBER((I14-AB14+L14)/(F14)),(I14-AB14+L14)/(F14)," - ")</f>
        <v>-0.31578947368421051</v>
      </c>
      <c r="BM14" s="1203">
        <f>SUBTOTAL(9,BM9:BM13)</f>
        <v>5.8715723917887666E-2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1751</v>
      </c>
      <c r="G16" s="743">
        <f>IF(ISNUMBER(IF(D_I="SI",Datos!I16,Datos!I16+Datos!AC16)),IF(D_I="SI",Datos!I16,Datos!I16+Datos!AC16)," - ")</f>
        <v>1714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2216</v>
      </c>
      <c r="AC16" s="240">
        <f>IF(ISNUMBER(Datos!Q16),Datos!Q16," - ")</f>
        <v>99</v>
      </c>
      <c r="AD16" s="374"/>
      <c r="AE16" s="562"/>
      <c r="AF16" s="741">
        <f>IF(ISNUMBER(IF(D_I="SI",Datos!L16,Datos!L16+Datos!AF16)),IF(D_I="SI",Datos!L16,Datos!L16+Datos!AF16)," - ")</f>
        <v>1663</v>
      </c>
      <c r="AG16" s="374"/>
      <c r="AH16" s="374"/>
      <c r="AI16" s="374"/>
      <c r="AJ16" s="549"/>
      <c r="AK16" s="374"/>
      <c r="AL16" s="545"/>
      <c r="AM16" s="375">
        <f>IF(ISNUMBER(Datos!R16),Datos!R16," - ")</f>
        <v>220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445</v>
      </c>
      <c r="BD16" s="243">
        <f>IF(ISNUMBER(Datos!N16),Datos!N16," - ")</f>
        <v>1125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1.0413533834586466</v>
      </c>
      <c r="BH16" s="764">
        <f>IF(ISNUMBER(((IF(D_I="SI",Datos!L16/Datos!K16,(Datos!L16+Datos!AF16)/(Datos!K16+Datos!AE16)))*11)/factor_trimestre),((IF(D_I="SI",Datos!L16/Datos!K16,(Datos!L16+Datos!AF16)/(Datos!K16+Datos!AE16)))*11)/factor_trimestre," - ")</f>
        <v>2.2513537906137184</v>
      </c>
      <c r="BI16" s="266">
        <f>IF(ISNUMBER('Resol  Asuntos'!D16/NºAsuntos!G16),'Resol  Asuntos'!D16/NºAsuntos!G16," - ")</f>
        <v>0.20081227436823104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367</v>
      </c>
      <c r="AC18" s="547">
        <f>IF(ISNUMBER(Datos!Q18),Datos!Q18," - ")</f>
        <v>15</v>
      </c>
      <c r="AD18" s="549"/>
      <c r="AE18" s="562"/>
      <c r="AF18" s="551">
        <f>IF(ISNUMBER(Datos!L18),Datos!L18,"-")</f>
        <v>221</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251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0.9683377308707124</v>
      </c>
      <c r="BH18" s="764">
        <f>IF(ISNUMBER(((IF(D_I="SI",Datos!L18/Datos!K18,(Datos!L18+Datos!AF18)/(Datos!K18+Datos!AE18)))*11)/factor_trimestre),((IF(D_I="SI",Datos!L18/Datos!K18,(Datos!L18+Datos!AF18)/(Datos!K18+Datos!AE18)))*11)/factor_trimestre," - ")</f>
        <v>1.8065395095367849</v>
      </c>
      <c r="BI18" s="763">
        <f>IF(ISNUMBER('Resol  Asuntos'!D18/NºAsuntos!G18),'Resol  Asuntos'!D18/NºAsuntos!G18," - ")</f>
        <v>0.17438692098092642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1753</v>
      </c>
      <c r="G23" s="1197">
        <f>SUBTOTAL(9,G16:G22)</f>
        <v>1925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2583</v>
      </c>
      <c r="AC23" s="1198">
        <f t="shared" si="5"/>
        <v>114</v>
      </c>
      <c r="AD23" s="1198">
        <f t="shared" si="5"/>
        <v>0</v>
      </c>
      <c r="AE23" s="1198">
        <f t="shared" si="5"/>
        <v>0</v>
      </c>
      <c r="AF23" s="1198">
        <f t="shared" si="5"/>
        <v>1886</v>
      </c>
      <c r="AG23" s="1198">
        <f t="shared" si="5"/>
        <v>0</v>
      </c>
      <c r="AH23" s="1198">
        <f t="shared" si="5"/>
        <v>0</v>
      </c>
      <c r="AI23" s="1198">
        <f t="shared" si="5"/>
        <v>0</v>
      </c>
      <c r="AJ23" s="1198">
        <f t="shared" si="5"/>
        <v>0</v>
      </c>
      <c r="AK23" s="1198">
        <f t="shared" si="5"/>
        <v>0</v>
      </c>
      <c r="AL23" s="1198">
        <f t="shared" si="5"/>
        <v>0</v>
      </c>
      <c r="AM23" s="1198">
        <f t="shared" si="5"/>
        <v>232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509</v>
      </c>
      <c r="BD23" s="1198">
        <f t="shared" si="5"/>
        <v>1376</v>
      </c>
      <c r="BE23" s="1198">
        <f t="shared" si="5"/>
        <v>0</v>
      </c>
      <c r="BF23" s="1198">
        <f t="shared" si="5"/>
        <v>0</v>
      </c>
      <c r="BG23" s="1198">
        <f>IF(ISNUMBER(Datos!K23/Datos!J23),Datos!K23/Datos!J23," - ")</f>
        <v>1.0303151176705225</v>
      </c>
      <c r="BH23" s="1202">
        <f>IF(ISNUMBER(((Datos!L23/Datos!K23)*11)/factor_trimestre),((Datos!L23/Datos!K23)*11)/factor_trimestre," - ")</f>
        <v>2.1904761904761907</v>
      </c>
      <c r="BI23" s="1198">
        <f>SUBTOTAL(9,BI16:BI22)</f>
        <v>0.37519919534915747</v>
      </c>
      <c r="BJ23" s="1198">
        <f>SUBTOTAL(9,BJ16:BJ22)</f>
        <v>0</v>
      </c>
      <c r="BK23" s="1198">
        <f>SUBTOTAL(9,BK16:BK22)</f>
        <v>0</v>
      </c>
      <c r="BL23" s="1198">
        <f>IF(ISNUMBER((I23-AB23+L23)/(F23)),(I23-AB23+L23)/(F23)," - ")</f>
        <v>-1.4734740444951511</v>
      </c>
      <c r="BM23" s="1205">
        <f>IF(ISNUMBER((Datos!P23-Datos!Q23)/(Datos!R23-Datos!P23+Datos!Q23)),(Datos!P23-Datos!Q23)/(Datos!R23-Datos!P23+Datos!Q23)," - ")</f>
        <v>-9.0196078431372548E-2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1867</v>
      </c>
      <c r="G31" s="1117">
        <f t="shared" si="18"/>
        <v>2039</v>
      </c>
      <c r="H31" s="1119">
        <f t="shared" si="18"/>
        <v>0</v>
      </c>
      <c r="I31" s="1117">
        <f t="shared" si="18"/>
        <v>0</v>
      </c>
      <c r="J31" s="1119">
        <f t="shared" si="18"/>
        <v>0</v>
      </c>
      <c r="K31" s="1119">
        <f t="shared" si="18"/>
        <v>0</v>
      </c>
      <c r="L31" s="1180">
        <f t="shared" si="18"/>
        <v>0</v>
      </c>
      <c r="M31" s="1180">
        <f t="shared" si="18"/>
        <v>0</v>
      </c>
      <c r="N31" s="1180">
        <f t="shared" si="18"/>
        <v>227</v>
      </c>
      <c r="O31" s="1180">
        <f t="shared" si="18"/>
        <v>0</v>
      </c>
      <c r="P31" s="1180">
        <f t="shared" si="18"/>
        <v>0</v>
      </c>
      <c r="Q31" s="1119">
        <f t="shared" si="18"/>
        <v>759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2619</v>
      </c>
      <c r="AC31" s="1118">
        <f t="shared" si="19"/>
        <v>612</v>
      </c>
      <c r="AD31" s="1118">
        <f t="shared" si="19"/>
        <v>0</v>
      </c>
      <c r="AE31" s="1118">
        <f t="shared" si="19"/>
        <v>0</v>
      </c>
      <c r="AF31" s="1125">
        <f t="shared" si="19"/>
        <v>2000</v>
      </c>
      <c r="AG31" s="1125">
        <f t="shared" si="19"/>
        <v>0</v>
      </c>
      <c r="AH31" s="1125">
        <f t="shared" si="19"/>
        <v>303</v>
      </c>
      <c r="AI31" s="1125">
        <f t="shared" si="19"/>
        <v>0</v>
      </c>
      <c r="AJ31" s="1118">
        <f t="shared" si="19"/>
        <v>0</v>
      </c>
      <c r="AK31" s="1125">
        <f t="shared" si="19"/>
        <v>0</v>
      </c>
      <c r="AL31" s="1125">
        <f t="shared" si="19"/>
        <v>0</v>
      </c>
      <c r="AM31" s="1125">
        <f t="shared" si="19"/>
        <v>15553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1054</v>
      </c>
      <c r="BD31" s="1117">
        <f t="shared" si="19"/>
        <v>2440</v>
      </c>
      <c r="BE31" s="1117">
        <f t="shared" si="19"/>
        <v>0</v>
      </c>
      <c r="BF31" s="1127">
        <f t="shared" si="19"/>
        <v>0</v>
      </c>
      <c r="BG31" s="1223">
        <f>IF(ISNUMBER(Datos!K31/Datos!J31),Datos!K31/Datos!J31," - ")</f>
        <v>0.93621236133122032</v>
      </c>
      <c r="BH31" s="1223">
        <f>IF(ISNUMBER(((Datos!L31/Datos!K31)*11)/factor_trimestre),((Datos!L31/Datos!K31)*11)/factor_trimestre," - ")</f>
        <v>5.1220905628438427</v>
      </c>
      <c r="BI31" s="1103">
        <f>IF(ISNUMBER(Datos!J31/Datos!I31),Datos!J31/Datos!I31," - ")</f>
        <v>0.65566956747629568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-1.402785216925549</v>
      </c>
      <c r="BM31" s="1188">
        <f>IF(ISNUMBER((Datos!P31-Datos!Q31+R31)/(Datos!R31-Datos!P31+Datos!Q31-R31)),(Datos!P31-Datos!Q31+R31)/(Datos!R31-Datos!P31+Datos!Q31-R31)," - ")</f>
        <v>9.54173698559003E-3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509.75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833.98478346287538</v>
      </c>
      <c r="G33" s="674">
        <f>IF(ISNUMBER(STDEV(G8:G30)),STDEV(G8:G30),"-")</f>
        <v>813.66345271599505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1088.2650346833191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256.45307129722153</v>
      </c>
      <c r="BD33" s="673"/>
      <c r="BE33" s="673">
        <f>IF(ISNUMBER(STDEV(BE8:BE30)),STDEV(BE8:BE30),"-")</f>
        <v>0</v>
      </c>
      <c r="BF33" s="678">
        <f>IF(ISNUMBER(STDEV(BF8:BF30)),STDEV(BF8:BF30),"-")</f>
        <v>0</v>
      </c>
      <c r="BG33" s="1052">
        <f>IF(ISNUMBER(STDEV(BG8:BG30)),STDEV(BG8:BG30),"-")</f>
        <v>8.4836878795303577E-2</v>
      </c>
      <c r="BH33" s="1058">
        <f>IF(ISNUMBER(STDEV(BH8:BH30)),STDEV(BH8:BH30),"-")</f>
        <v>3.9360838043086175</v>
      </c>
      <c r="BI33" s="273">
        <f>IF(ISNUMBER(STDEV(BI8:BI30)),STDEV(BI8:BI30),"-")</f>
        <v>8.9827145162025418E-2</v>
      </c>
      <c r="BJ33" s="244" t="str">
        <f>IF(ISNUMBER(BL33/BM33),BL33/BM33," - ")</f>
        <v xml:space="preserve"> - </v>
      </c>
      <c r="BK33" s="709"/>
      <c r="BL33" s="681">
        <f>IF(ISNUMBER(STDEV(BL8:BL30)),STDEV(BL8:BL30),"-")</f>
        <v>0.81860661049545391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AAWWcRyssFvJDQYW+MfG+ekPJ27NgNaRgLqi9rV/WcDAoVkHKVjh9yFT3DY+hGHzrwJ7six1E2NhPvEZwDsFg==" saltValue="5YurBFdIKGDC/DtDNFAB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ORIHUELA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655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493</v>
      </c>
      <c r="AA9" s="551" t="str">
        <f>IF(ISNUMBER(IF(J_V="SI",Datos!L9,Datos!L9+Datos!AB9)-IF(Monitorios="SI",Datos!CD9,0)),
                          IF(J_V="SI",Datos!L9,Datos!L9+Datos!AB9)-IF(Monitorios="SI",Datos!CD9,0),
                          " - ")</f>
        <v xml:space="preserve"> - </v>
      </c>
      <c r="AB9" s="549"/>
      <c r="AC9" s="549"/>
      <c r="AD9" s="563"/>
      <c r="AE9" s="563">
        <f>IF(ISNUMBER(Datos!R9),Datos!R9," - ")</f>
        <v>15146</v>
      </c>
      <c r="AF9" s="693" t="str">
        <f>IF(ISNUMBER(Datos!BV9),Datos!BV9," - ")</f>
        <v xml:space="preserve"> - </v>
      </c>
      <c r="AG9" s="552" t="str">
        <f>IF(ISNUMBER(Datos!DV9),Datos!DV9," - ")</f>
        <v xml:space="preserve"> - </v>
      </c>
      <c r="AH9" s="553"/>
      <c r="AI9" s="554"/>
      <c r="AJ9" s="552">
        <f>IF(ISNUMBER(Datos!M9),Datos!M9," - ")</f>
        <v>527</v>
      </c>
      <c r="AK9" s="693">
        <f>IF(ISNUMBER(Datos!N9),Datos!N9," - ")</f>
        <v>1050</v>
      </c>
      <c r="AL9" s="693" t="str">
        <f>IF(ISNUMBER(Datos!BW9),Datos!BW9," - ")</f>
        <v xml:space="preserve"> - </v>
      </c>
      <c r="AM9" s="762" t="str">
        <f>IF(ISNUMBER(Datos!BX9),Datos!BX9," - ")</f>
        <v xml:space="preserve"> - </v>
      </c>
      <c r="AN9" s="763"/>
      <c r="AO9" s="764">
        <f>IF(ISNUMBER(((NºAsuntos!I9/NºAsuntos!G9)*11)/factor_trimestre),((NºAsuntos!I9/NºAsuntos!G9)*11)/factor_trimestre," - ")</f>
        <v>8.0965692503176623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1.0811532301121196E-2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114</v>
      </c>
      <c r="G10" s="552">
        <f>IF(ISNUMBER(Datos!I10),Datos!I10," - ")</f>
        <v>114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5</v>
      </c>
      <c r="AA10" s="551">
        <f>IF(ISNUMBER(Datos!L10),Datos!L10,"-")</f>
        <v>114</v>
      </c>
      <c r="AB10" s="549"/>
      <c r="AC10" s="549"/>
      <c r="AD10" s="563"/>
      <c r="AE10" s="563">
        <f>IF(ISNUMBER(Datos!R10),Datos!R10," - ")</f>
        <v>175</v>
      </c>
      <c r="AF10" s="693" t="str">
        <f>IF(ISNUMBER(Datos!BV10),Datos!BV10," - ")</f>
        <v xml:space="preserve"> - </v>
      </c>
      <c r="AG10" s="552" t="str">
        <f>IF(ISNUMBER(Datos!DV10),Datos!DV10," - ")</f>
        <v xml:space="preserve"> - </v>
      </c>
      <c r="AH10" s="553"/>
      <c r="AI10" s="554"/>
      <c r="AJ10" s="552">
        <f>IF(ISNUMBER(Datos!M10),Datos!M10," - ")</f>
        <v>18</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9.4999999999999982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4.790419161676647E-2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114</v>
      </c>
      <c r="G14" s="1197">
        <f>SUBTOTAL(9,G8:G13)</f>
        <v>114</v>
      </c>
      <c r="H14" s="1211"/>
      <c r="I14" s="1197">
        <f t="shared" ref="I14:N14" si="1">SUBTOTAL(9,I8:I13)</f>
        <v>0</v>
      </c>
      <c r="J14" s="1164">
        <f t="shared" si="1"/>
        <v>0</v>
      </c>
      <c r="K14" s="1211">
        <f t="shared" si="1"/>
        <v>0</v>
      </c>
      <c r="L14" s="1211">
        <f t="shared" si="1"/>
        <v>0</v>
      </c>
      <c r="M14" s="1211">
        <f t="shared" si="1"/>
        <v>0</v>
      </c>
      <c r="N14" s="1211">
        <f t="shared" si="1"/>
        <v>668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498</v>
      </c>
      <c r="AA14" s="1199">
        <f t="shared" si="3"/>
        <v>114</v>
      </c>
      <c r="AB14" s="1199">
        <f t="shared" si="3"/>
        <v>0</v>
      </c>
      <c r="AC14" s="1199">
        <f t="shared" si="3"/>
        <v>0</v>
      </c>
      <c r="AD14" s="1199">
        <f t="shared" si="3"/>
        <v>0</v>
      </c>
      <c r="AE14" s="1199">
        <f t="shared" si="3"/>
        <v>15321</v>
      </c>
      <c r="AF14" s="1211">
        <f t="shared" si="3"/>
        <v>0</v>
      </c>
      <c r="AG14" s="1211">
        <f t="shared" si="3"/>
        <v>0</v>
      </c>
      <c r="AH14" s="1211">
        <f t="shared" si="3"/>
        <v>0</v>
      </c>
      <c r="AI14" s="1211">
        <f t="shared" si="3"/>
        <v>0</v>
      </c>
      <c r="AJ14" s="1211">
        <f t="shared" si="3"/>
        <v>545</v>
      </c>
      <c r="AK14" s="1211">
        <f t="shared" si="3"/>
        <v>1064</v>
      </c>
      <c r="AL14" s="1211">
        <f t="shared" si="3"/>
        <v>0</v>
      </c>
      <c r="AM14" s="1211">
        <f t="shared" si="3"/>
        <v>0</v>
      </c>
      <c r="AN14" s="1211">
        <f t="shared" si="3"/>
        <v>0</v>
      </c>
      <c r="AO14" s="1203">
        <f>IF(ISNUMBER(((NºAsuntos!I14/NºAsuntos!G14)*11)/factor_trimestre),((NºAsuntos!I14/NºAsuntos!G14)*11)/factor_trimestre," - ")</f>
        <v>8.1108795331388084</v>
      </c>
      <c r="AP14" s="1213" t="str">
        <f>IF(ISNUMBER(Datos!CI14/Datos!CJ14),Datos!CI14/Datos!CJ14," - ")</f>
        <v xml:space="preserve"> - </v>
      </c>
      <c r="AQ14" s="1236">
        <f t="shared" ref="AQ14:AV14" si="4">SUBTOTAL(9,AQ9:AQ13)</f>
        <v>0</v>
      </c>
      <c r="AR14" s="1236">
        <f t="shared" si="4"/>
        <v>5.8715723917887666E-2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1751</v>
      </c>
      <c r="G16" s="552">
        <f>IF(ISNUMBER(IF(D_I="SI",Datos!I16,Datos!I16+Datos!AC16)),IF(D_I="SI",Datos!I16,Datos!I16+Datos!AC16)," - ")</f>
        <v>1714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2216</v>
      </c>
      <c r="Z16" s="805">
        <f>IF(ISNUMBER(Datos!Q16),Datos!Q16," - ")</f>
        <v>99</v>
      </c>
      <c r="AA16" s="551">
        <f>IF(ISNUMBER(IF(D_I="SI",Datos!L16,Datos!L16+Datos!AF16)),IF(D_I="SI",Datos!L16,Datos!L16+Datos!AF16)," - ")</f>
        <v>1663</v>
      </c>
      <c r="AB16" s="549"/>
      <c r="AC16" s="549"/>
      <c r="AD16" s="563"/>
      <c r="AE16" s="563">
        <f>IF(ISNUMBER(Datos!R16),Datos!R16," - ")</f>
        <v>220</v>
      </c>
      <c r="AF16" s="693" t="str">
        <f>IF(ISNUMBER(Datos!BV16),Datos!BV16," - ")</f>
        <v xml:space="preserve"> - </v>
      </c>
      <c r="AG16" s="552"/>
      <c r="AH16" s="553"/>
      <c r="AI16" s="554"/>
      <c r="AJ16" s="552">
        <f>IF(ISNUMBER(Datos!M16),Datos!M16," - ")</f>
        <v>445</v>
      </c>
      <c r="AK16" s="693">
        <f>IF(ISNUMBER(Datos!N16),Datos!N16," - ")</f>
        <v>1125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2.2513537906137184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367</v>
      </c>
      <c r="Z18" s="805">
        <f>IF(ISNUMBER(Datos!Q18),Datos!Q18," - ")</f>
        <v>15</v>
      </c>
      <c r="AA18" s="551">
        <f>IF(ISNUMBER(Datos!L18),Datos!L18,"-")</f>
        <v>221</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64</v>
      </c>
      <c r="AK18" s="693">
        <f>IF(ISNUMBER(Datos!N18),Datos!N18," - ")</f>
        <v>251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1.8065395095367849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1753</v>
      </c>
      <c r="G23" s="1197">
        <f>SUBTOTAL(9,G16:G22)</f>
        <v>1925</v>
      </c>
      <c r="H23" s="1240">
        <f>SUBTOTAL(9,H16:H22)</f>
        <v>0</v>
      </c>
      <c r="I23" s="1217">
        <f>SUBTOTAL(9,I16:I22)</f>
        <v>0</v>
      </c>
      <c r="J23" s="1164">
        <f>SUBTOTAL(9,J15:J22)</f>
        <v>0</v>
      </c>
      <c r="K23" s="1240">
        <f t="shared" ref="K23:S23" si="5">SUBTOTAL(9,K16:K22)</f>
        <v>0</v>
      </c>
      <c r="L23" s="1240">
        <f t="shared" si="5"/>
        <v>0</v>
      </c>
      <c r="M23" s="1240">
        <f t="shared" si="5"/>
        <v>0</v>
      </c>
      <c r="N23" s="1240">
        <f t="shared" si="5"/>
        <v>91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2583</v>
      </c>
      <c r="Z23" s="1240">
        <f t="shared" si="6"/>
        <v>114</v>
      </c>
      <c r="AA23" s="1240">
        <f t="shared" si="6"/>
        <v>1886</v>
      </c>
      <c r="AB23" s="1240">
        <f t="shared" si="6"/>
        <v>0</v>
      </c>
      <c r="AC23" s="1240">
        <f t="shared" si="6"/>
        <v>0</v>
      </c>
      <c r="AD23" s="1240">
        <f t="shared" si="6"/>
        <v>0</v>
      </c>
      <c r="AE23" s="1240">
        <f t="shared" si="6"/>
        <v>232</v>
      </c>
      <c r="AF23" s="1240">
        <f t="shared" si="6"/>
        <v>0</v>
      </c>
      <c r="AG23" s="1240">
        <f t="shared" si="6"/>
        <v>0</v>
      </c>
      <c r="AH23" s="1240">
        <f t="shared" si="6"/>
        <v>0</v>
      </c>
      <c r="AI23" s="1240">
        <f t="shared" si="6"/>
        <v>0</v>
      </c>
      <c r="AJ23" s="1240">
        <f t="shared" si="6"/>
        <v>509</v>
      </c>
      <c r="AK23" s="1240">
        <f t="shared" si="6"/>
        <v>1376</v>
      </c>
      <c r="AL23" s="1240">
        <f t="shared" si="6"/>
        <v>0</v>
      </c>
      <c r="AM23" s="1240">
        <f t="shared" si="6"/>
        <v>0</v>
      </c>
      <c r="AN23" s="1240">
        <f t="shared" si="6"/>
        <v>0</v>
      </c>
      <c r="AO23" s="1242">
        <f>IF(ISNUMBER(((NºAsuntos!I23/NºAsuntos!G23)*11)/factor_trimestre),((NºAsuntos!I23/NºAsuntos!G23)*11)/factor_trimestre," - ")</f>
        <v>2.1904761904761907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1867</v>
      </c>
      <c r="G31" s="1117">
        <f t="shared" si="12"/>
        <v>2039</v>
      </c>
      <c r="H31" s="1118">
        <f t="shared" si="12"/>
        <v>0</v>
      </c>
      <c r="I31" s="1117">
        <f t="shared" si="12"/>
        <v>0</v>
      </c>
      <c r="J31" s="1119">
        <f t="shared" si="12"/>
        <v>0</v>
      </c>
      <c r="K31" s="1117">
        <f t="shared" si="12"/>
        <v>0</v>
      </c>
      <c r="L31" s="1120">
        <f t="shared" si="12"/>
        <v>0</v>
      </c>
      <c r="M31" s="1117">
        <f t="shared" si="12"/>
        <v>0</v>
      </c>
      <c r="N31" s="1118">
        <f t="shared" si="12"/>
        <v>759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2619</v>
      </c>
      <c r="Z31" s="1124">
        <f t="shared" si="13"/>
        <v>612</v>
      </c>
      <c r="AA31" s="1125">
        <f t="shared" si="13"/>
        <v>2000</v>
      </c>
      <c r="AB31" s="1125">
        <f t="shared" si="13"/>
        <v>0</v>
      </c>
      <c r="AC31" s="1125">
        <f t="shared" si="13"/>
        <v>0</v>
      </c>
      <c r="AD31" s="1126">
        <f t="shared" si="13"/>
        <v>0</v>
      </c>
      <c r="AE31" s="1126">
        <f t="shared" si="13"/>
        <v>15553</v>
      </c>
      <c r="AF31" s="1127">
        <f t="shared" si="13"/>
        <v>0</v>
      </c>
      <c r="AG31" s="1128">
        <f t="shared" si="13"/>
        <v>0</v>
      </c>
      <c r="AH31" s="1129">
        <f t="shared" si="13"/>
        <v>0</v>
      </c>
      <c r="AI31" s="1127">
        <f t="shared" si="13"/>
        <v>0</v>
      </c>
      <c r="AJ31" s="1117">
        <f t="shared" si="13"/>
        <v>1054</v>
      </c>
      <c r="AK31" s="1117">
        <f t="shared" si="13"/>
        <v>2440</v>
      </c>
      <c r="AL31" s="1117">
        <f t="shared" si="13"/>
        <v>0</v>
      </c>
      <c r="AM31" s="1130">
        <f t="shared" si="13"/>
        <v>0</v>
      </c>
      <c r="AN31" s="1120">
        <f>IF(ISNUMBER(Datos!K31/Datos!J31),Datos!K31/Datos!J31," - ")</f>
        <v>0.93621236133122032</v>
      </c>
      <c r="AO31" s="1120">
        <f>IF(ISNUMBER(FIND("06",Criterios!A8,1)),(IF(ISNUMBER(((Datos!R31/Datos!Q31)*11)/factor_trimestre),((Datos!R31/Datos!Q31)*11)/factor_trimestre," - ")),(IF(ISNUMBER(((Datos!L31/Datos!K31)*11)/factor_trimestre),((Datos!L31/Datos!K31)*11)/factor_trimestre," - ")))</f>
        <v>5.1220905628438427</v>
      </c>
      <c r="AP31" s="1131" t="str">
        <f>IF(ISNUMBER(Datos!CI31/Datos!CJ31),Datos!CI31/Datos!CJ31," - ")</f>
        <v xml:space="preserve"> - </v>
      </c>
      <c r="AQ31" s="1131">
        <f>IF(OR(ISNUMBER(FIND("01",Criterios!A8,1)),ISNUMBER(FIND("02",Criterios!A8,1)),ISNUMBER(FIND("03",Criterios!A8,1)),ISNUMBER(FIND("04",Criterios!A8,1))),(J31-Y31+K31)/(F31-K31),(I31-Y31+K31)/(F31-K31))</f>
        <v>-1.402785216925549</v>
      </c>
      <c r="AR31" s="1131">
        <f>IF(ISNUMBER((Datos!P31-Datos!Q31+O31)/(Datos!R31-Datos!P31+Datos!Q31-O31)),(Datos!P31-Datos!Q31+O31)/(Datos!R31-Datos!P31+Datos!Q31-O31)," - ")</f>
        <v>9.54173698559003E-3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509.75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833.98478346287538</v>
      </c>
      <c r="G33" s="674">
        <f>IF(ISNUMBER(STDEV(G8:G30)),STDEV(G8:G30),"-")</f>
        <v>813.66345271599505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256.45307129722153</v>
      </c>
      <c r="AK33" s="276"/>
      <c r="AL33" s="276">
        <f>IF(ISNUMBER(STDEV(AL8:AL30)),STDEV(AL8:AL30),"-")</f>
        <v>0</v>
      </c>
      <c r="AM33" s="278">
        <f>IF(ISNUMBER(STDEV(AM8:AM30)),STDEV(AM8:AM30),"-")</f>
        <v>0</v>
      </c>
      <c r="AN33" s="660">
        <f>IF(ISNUMBER(STDEV(AN8:AN30)),STDEV(AN8:AN30),"-")</f>
        <v>0</v>
      </c>
      <c r="AO33" s="661">
        <f>IF(ISNUMBER(STDEV(AO8:AO30)),STDEV(AO8:AO30),"-")</f>
        <v>3.8479241009345597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m9rNKcHXHiz6gZxoj2Bdn8xBlkRzVgPXoQZvs2oMZhA3z44ChJ2FvBPCsPcUXn0ldViWkVn+MRXuVCjXJ0ZQ==" saltValue="lz5eFZPiGOqcKeA/R0s1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mxK/oIyvVnptr3q4l6Ko00NerurjMliZvYKdHOe7RHhRtg4aTh3/eP9+aW6Ku5LKRslM/9Poiyfqg43XtXzXg==" saltValue="+S5gLbmwrVKoDd/0cnZD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AMF/Jm/amIREzVonS3q4bkiPBIFx/HldQrB/thMnpMeA9PBOPcMN7aUIDPSMU8jbQ4t7dTLi3+NpA32crNYA==" saltValue="/cbZdIpsasdRC7nFl3cn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ORIHUELA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0.22717799082951229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0.16063909785188346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wtcXVUwWDlApBQZ+DxbZ2ypPSuYymqpcdt7CfEtmq8MFL8X3A73DStfdO3bfFQ0f0TbweG/Jb/nrVxCDKDZAg==" saltValue="+Rlp8jUPf0Wy1zYUWFJB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gryfRoa7VV+vwiSl8dQbDeCnQWjgfl8YFQgM59EbIRkbBEZuWXK+ys6skm4g9Nvrrld5jDX5i+DkivzIhXD1MA==" saltValue="CdyMmDKr80r1M30kdEbw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ORIHUELA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5976</v>
      </c>
      <c r="D9" s="452">
        <f>IF(ISNUMBER(C9/Datos!BH9),C9/Datos!BH9," - ")</f>
        <v>996</v>
      </c>
      <c r="E9" s="451">
        <f>IF(ISNUMBER(IF(J_V="SI",Datos!J9,Datos!J9+Datos!Z9)),IF(J_V="SI",Datos!J9,Datos!J9+Datos!Z9)," - ")</f>
        <v>2732</v>
      </c>
      <c r="F9" s="452">
        <f>IF(ISNUMBER(E9/B9),E9/B9," - ")</f>
        <v>455.33333333333331</v>
      </c>
      <c r="G9" s="451">
        <f>IF(ISNUMBER(IF(J_V="SI",Datos!K9,Datos!K9+Datos!AA9)),IF(J_V="SI",Datos!K9,Datos!K9+Datos!AA9)," - ")</f>
        <v>2361</v>
      </c>
      <c r="H9" s="452">
        <f>IF(ISNUMBER(G9/B9),G9/B9," - ")</f>
        <v>393.5</v>
      </c>
      <c r="I9" s="451">
        <f>IF(ISNUMBER(IF(J_V="SI",Datos!L9,Datos!L9+Datos!AB9)),IF(J_V="SI",Datos!L9,Datos!L9+Datos!AB9)," - ")</f>
        <v>6372</v>
      </c>
      <c r="J9" s="452">
        <f>IF(ISNUMBER(I9/B9),I9/B9," - ")</f>
        <v>1062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114</v>
      </c>
      <c r="D10" s="452">
        <f>IF(ISNUMBER(C10/Datos!BH10),C10/Datos!BH10," - ")</f>
        <v>114</v>
      </c>
      <c r="E10" s="451">
        <f>IF(ISNUMBER(Datos!J10),Datos!J10," - ")</f>
        <v>36</v>
      </c>
      <c r="F10" s="452">
        <f>IF(ISNUMBER(E10/B10),E10/B10," - ")</f>
        <v>36</v>
      </c>
      <c r="G10" s="451">
        <f>IF(ISNUMBER(Datos!K10),Datos!K10," - ")</f>
        <v>36</v>
      </c>
      <c r="H10" s="452">
        <f>IF(ISNUMBER(G10/B10),G10/B10," - ")</f>
        <v>36</v>
      </c>
      <c r="I10" s="451">
        <f>IF(ISNUMBER(Datos!L10),Datos!L10," - ")</f>
        <v>114</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3</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6093</v>
      </c>
      <c r="D14" s="1147" t="str">
        <f>IF(ISNUMBER(C14/Datos!BI14),C14/Datos!BI14," - ")</f>
        <v xml:space="preserve"> - </v>
      </c>
      <c r="E14" s="1146">
        <f>SUBTOTAL(9,E8:E13)</f>
        <v>2768</v>
      </c>
      <c r="F14" s="1147">
        <f>IF(ISNUMBER(E14/B14),E14/B14," - ")</f>
        <v>395.42857142857144</v>
      </c>
      <c r="G14" s="1146">
        <f>SUBTOTAL(9,G8:G13)</f>
        <v>2399</v>
      </c>
      <c r="H14" s="1147">
        <f>IF(ISNUMBER(G14/B14),G14/B14," - ")</f>
        <v>342.71428571428572</v>
      </c>
      <c r="I14" s="1146">
        <f>SUBTOTAL(9,I8:I13)</f>
        <v>6486</v>
      </c>
      <c r="J14" s="1147">
        <f>IF(ISNUMBER(I14/B14),I14/B14," - ")</f>
        <v>926.57142857142856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1714</v>
      </c>
      <c r="D16" s="452">
        <f>IF(ISNUMBER(C16/Datos!BH16),C16/Datos!BH16," - ")</f>
        <v>571.33333333333337</v>
      </c>
      <c r="E16" s="451">
        <f>IF(ISNUMBER(IF(D_I="SI",Datos!J16,Datos!J16+Datos!AD16)),IF(D_I="SI",Datos!J16,Datos!J16+Datos!AD16)," - ")</f>
        <v>2128</v>
      </c>
      <c r="F16" s="452">
        <f>IF(ISNUMBER(E16/B16),E16/B16," - ")</f>
        <v>709.33333333333337</v>
      </c>
      <c r="G16" s="451">
        <f>IF(ISNUMBER(IF(D_I="SI",Datos!K16,Datos!K16+Datos!AE16)),IF(D_I="SI",Datos!K16,Datos!K16+Datos!AE16)," - ")</f>
        <v>2216</v>
      </c>
      <c r="H16" s="452">
        <f>IF(ISNUMBER(G16/B16),G16/B16," - ")</f>
        <v>738.66666666666663</v>
      </c>
      <c r="I16" s="451">
        <f>IF(ISNUMBER(IF(D_I="SI",Datos!L16,Datos!L16+Datos!AF16)),IF(D_I="SI",Datos!L16,Datos!L16+Datos!AF16)," - ")</f>
        <v>1663</v>
      </c>
      <c r="J16" s="452">
        <f>IF(ISNUMBER(I16/B16),I16/B16," - ")</f>
        <v>554.33333333333337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209</v>
      </c>
      <c r="D18" s="452">
        <f>IF(ISNUMBER(C18/Datos!BH18),C18/Datos!BH18," - ")</f>
        <v>209</v>
      </c>
      <c r="E18" s="451">
        <f>IF(ISNUMBER(IF(D_I="SI",Datos!J18,Datos!J18+Datos!AD18)),IF(D_I="SI",Datos!J18,Datos!J18+Datos!AD18)," - ")</f>
        <v>379</v>
      </c>
      <c r="F18" s="452">
        <f>IF(ISNUMBER(E18/B18),E18/B18," - ")</f>
        <v>379</v>
      </c>
      <c r="G18" s="451">
        <f>IF(ISNUMBER(IF(D_I="SI",Datos!K18,Datos!K18+Datos!AE18)),IF(D_I="SI",Datos!K18,Datos!K18+Datos!AE18)," - ")</f>
        <v>367</v>
      </c>
      <c r="H18" s="452">
        <f>IF(ISNUMBER(G18/B18),G18/B18," - ")</f>
        <v>367</v>
      </c>
      <c r="I18" s="451">
        <f>IF(ISNUMBER(IF(D_I="SI",Datos!L18,Datos!L18+Datos!AF18)),IF(D_I="SI",Datos!L18,Datos!L18+Datos!AF18)," - ")</f>
        <v>221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1925</v>
      </c>
      <c r="D23" s="1147" t="str">
        <f>IF(ISNUMBER(C23/Datos!BI23),C23/Datos!BI23," - ")</f>
        <v xml:space="preserve"> - </v>
      </c>
      <c r="E23" s="1146">
        <f>SUBTOTAL(9,E15:E22)</f>
        <v>2507</v>
      </c>
      <c r="F23" s="1147">
        <f>IF(ISNUMBER(E23/B23),E23/B23," - ")</f>
        <v>626.75</v>
      </c>
      <c r="G23" s="1146">
        <f>SUBTOTAL(9,G15:G22)</f>
        <v>2583</v>
      </c>
      <c r="H23" s="1147">
        <f>IF(ISNUMBER(G23/B23),G23/B23," - ")</f>
        <v>645.75</v>
      </c>
      <c r="I23" s="1146">
        <f>SUBTOTAL(9,I15:I22)</f>
        <v>1886</v>
      </c>
      <c r="J23" s="1147">
        <f>IF(ISNUMBER(I23/B23),I23/B23," - ")</f>
        <v>471.5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8018</v>
      </c>
      <c r="D31" s="1085" t="str">
        <f>IF(ISNUMBER(C31/Datos!BI31),C31/Datos!BI31," - ")</f>
        <v xml:space="preserve"> - </v>
      </c>
      <c r="E31" s="1084">
        <f>SUBTOTAL(9,E9:E30)</f>
        <v>5275</v>
      </c>
      <c r="F31" s="1085">
        <f>IF(ISNUMBER(E31/B31),E31/B31," - ")</f>
        <v>527.5</v>
      </c>
      <c r="G31" s="1084">
        <f>SUBTOTAL(9,G9:G30)</f>
        <v>4982</v>
      </c>
      <c r="H31" s="1085">
        <f>IF(ISNUMBER(G31/B31),G31/B31," - ")</f>
        <v>498.2</v>
      </c>
      <c r="I31" s="1084">
        <f>SUBTOTAL(9,I9:I30)</f>
        <v>8372</v>
      </c>
      <c r="J31" s="1085">
        <f>IF(ISNUMBER(I31/B31),I31/B31," - ")</f>
        <v>837.2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PIkBD7+CH6t0VpIaRWwh1BGXaBTwdx6IsVDsqJa0RrjZaWmwvnsBxVbVxWFBF5m6SoGwfLAQw+NGuzCvqL0jQ==" saltValue="PMc6HtEesboEDfXn986E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ORIHUELA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114</v>
      </c>
      <c r="G10" s="906">
        <f>IF(ISNUMBER(Datos!I10),Datos!I10," - ")</f>
        <v>114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114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9.4999999999999982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114</v>
      </c>
      <c r="G14" s="1256">
        <f t="shared" si="0"/>
        <v>114</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114</v>
      </c>
      <c r="AG14" s="1257">
        <f t="shared" si="1"/>
        <v>0</v>
      </c>
      <c r="AH14" s="1257">
        <f t="shared" si="1"/>
        <v>0</v>
      </c>
      <c r="AI14" s="1257">
        <f t="shared" si="1"/>
        <v>0</v>
      </c>
      <c r="AJ14" s="1257">
        <f t="shared" si="1"/>
        <v>0</v>
      </c>
      <c r="AK14" s="1257">
        <f t="shared" si="1"/>
        <v>0</v>
      </c>
      <c r="AL14" s="1257">
        <f t="shared" si="1"/>
        <v>18</v>
      </c>
      <c r="AM14" s="1257">
        <f t="shared" si="1"/>
        <v>14</v>
      </c>
      <c r="AN14" s="1257">
        <f t="shared" si="1"/>
        <v>0</v>
      </c>
      <c r="AO14" s="1257">
        <f t="shared" si="1"/>
        <v>0</v>
      </c>
      <c r="AP14" s="1262">
        <f>IF(ISNUMBER(((Datos!L14/Datos!K14)*11)/factor_trimestre),((Datos!L14/Datos!K14)*11)/factor_trimestre," - ")</f>
        <v>8.6556229584694364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-0.31578947368421051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2.1904761904761907</v>
      </c>
      <c r="AQ23" s="1262">
        <f>IF(ISNUMBER(((Datos!M23/Datos!L23)*11)/factor_trimestre),((Datos!M23/Datos!L23)*11)/factor_trimestre," - ")</f>
        <v>0.80965005302226933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-9.0196078431372548E-2</v>
      </c>
      <c r="AW23" s="1265">
        <f>IF(ISNUMBER((Datos!Q23-Datos!R23)/(Datos!S23-Datos!Q23+Datos!R23)),(Datos!Q23-Datos!R23)/(Datos!S23-Datos!Q23+Datos!R23)," - ")</f>
        <v>-5.7504873294346975E-2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114</v>
      </c>
      <c r="G31" s="1278">
        <f t="shared" si="8"/>
        <v>114</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114</v>
      </c>
      <c r="AG31" s="1285">
        <f t="shared" si="9"/>
        <v>0</v>
      </c>
      <c r="AH31" s="1285">
        <f t="shared" si="9"/>
        <v>0</v>
      </c>
      <c r="AI31" s="1285">
        <f t="shared" si="9"/>
        <v>0</v>
      </c>
      <c r="AJ31" s="1286">
        <f t="shared" si="9"/>
        <v>0</v>
      </c>
      <c r="AK31" s="1286">
        <f t="shared" si="9"/>
        <v>0</v>
      </c>
      <c r="AL31" s="1278">
        <f t="shared" si="9"/>
        <v>18</v>
      </c>
      <c r="AM31" s="1278">
        <f t="shared" si="9"/>
        <v>14</v>
      </c>
      <c r="AN31" s="1278">
        <f t="shared" si="9"/>
        <v>0</v>
      </c>
      <c r="AO31" s="1278">
        <f t="shared" si="9"/>
        <v>0</v>
      </c>
      <c r="AP31" s="1278">
        <f>IF(ISNUMBER(((Datos!L31/Datos!K31)*11)/factor_trimestre),((Datos!L31/Datos!K31)*11)/factor_trimestre," - ")</f>
        <v>5.1220905628438427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-0.31578947368421051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9.54173698559003E-3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62.440371555588939</v>
      </c>
      <c r="G33" s="1007">
        <f>IF(ISNUMBER(STDEV(G8:G30)),STDEV(G8:G30),"-")</f>
        <v>62.440371555588939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9.2951600308978009</v>
      </c>
      <c r="AM33" s="1006"/>
      <c r="AN33" s="1006">
        <f>IF(ISNUMBER(STDEV(AN8:AN30)),STDEV(AN8:AN30),"-")</f>
        <v>0</v>
      </c>
      <c r="AO33" s="1012">
        <f>IF(ISNUMBER(STDEV(AO8:AO30)),STDEV(AO8:AO30),"-")</f>
        <v>0</v>
      </c>
      <c r="AP33" s="1065">
        <f>IF(ISNUMBER(STDEV(AP8:AP30)),STDEV(AP8:AP30),"-")</f>
        <v>4.7073367238650192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F7iy2L9u/tEI5+edK2sUTqjEzFRIlmChw/+CJxOcwqlBC8rssClGyMyJxv4OerYCr/h0F7tf+UHOafs6WBoMw==" saltValue="PCGkaqJ6yC+w1zpVqeY7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ORIHUELA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f3aZ7FE2hpxNiKFOIPkzwwbBNyyWR2M3J+SazWtVxNoptCLs5ziAFdZhfBeaJla97WOCsnA+YdnKQFp2bXF1A==" saltValue="zdsktyaUZ8ncS9+HklAZ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ORIHUELA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527</v>
      </c>
      <c r="E9" s="452">
        <f t="shared" ref="E9:E14" si="0">IF(ISNUMBER(D9/B9),D9/B9," - ")</f>
        <v>87.833333333333329</v>
      </c>
      <c r="F9" s="451">
        <f>IF(ISNUMBER(Datos!N9),Datos!N9," - ")</f>
        <v>1050</v>
      </c>
      <c r="G9" s="452">
        <f t="shared" ref="G9:G14" si="1">IF(ISNUMBER(F9/B9),F9/B9," - ")</f>
        <v>175</v>
      </c>
      <c r="H9" s="451">
        <f>IF(ISNUMBER(Datos!O9),Datos!O9," - ")</f>
        <v>1080</v>
      </c>
      <c r="I9" s="452">
        <f>IF(ISNUMBER(H9/B9),H9/B9," - ")</f>
        <v>180</v>
      </c>
    </row>
    <row r="10" spans="1:9">
      <c r="A10" s="450" t="str">
        <f>Datos!A10</f>
        <v>Jdos. Violencia contra la mujer</v>
      </c>
      <c r="B10" s="480">
        <f>Datos!AO10</f>
        <v>1</v>
      </c>
      <c r="C10" s="458">
        <f>Datos!AQ10</f>
        <v>1</v>
      </c>
      <c r="D10" s="451">
        <f>IF(ISNUMBER(Datos!M10),Datos!M10," - ")</f>
        <v>18</v>
      </c>
      <c r="E10" s="452">
        <f>IF(ISNUMBER(D10/B10),D10/B10," - ")</f>
        <v>18</v>
      </c>
      <c r="F10" s="451">
        <f>IF(ISNUMBER(Datos!N10),Datos!N10," - ")</f>
        <v>14</v>
      </c>
      <c r="G10" s="452">
        <f>IF(ISNUMBER(F10/B10),F10/B10," - ")</f>
        <v>14</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545</v>
      </c>
      <c r="E14" s="1147">
        <f t="shared" si="0"/>
        <v>77.857142857142861</v>
      </c>
      <c r="F14" s="1146">
        <f>SUBTOTAL(9,F9:F13)</f>
        <v>1064</v>
      </c>
      <c r="G14" s="1147">
        <f t="shared" si="1"/>
        <v>152</v>
      </c>
      <c r="H14" s="1146">
        <f>SUBTOTAL(9,H9:H13)</f>
        <v>1091</v>
      </c>
      <c r="I14" s="1147">
        <f>IF(ISNUMBER(H14/B14),H14/B14," - ")</f>
        <v>155.85714285714286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445</v>
      </c>
      <c r="E16" s="452">
        <f t="shared" ref="E16:E23" si="3">IF(ISNUMBER(D16/B16),D16/B16," - ")</f>
        <v>148.33333333333334</v>
      </c>
      <c r="F16" s="451">
        <f>IF(ISNUMBER(Datos!N16),Datos!N16," - ")</f>
        <v>1125</v>
      </c>
      <c r="G16" s="452">
        <f t="shared" ref="G16:G23" si="4">IF(ISNUMBER(F16/B16),F16/B16," - ")</f>
        <v>375</v>
      </c>
      <c r="H16" s="451">
        <f>IF(ISNUMBER(Datos!O16),Datos!O16," - ")</f>
        <v>52</v>
      </c>
      <c r="I16" s="452">
        <f t="shared" ref="I16:I22" si="5">IF(ISNUMBER(H16/B16),H16/B16," - ")</f>
        <v>17.333333333333332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64</v>
      </c>
      <c r="E18" s="452">
        <f>IF(ISNUMBER(D18/B18),D18/B18," - ")</f>
        <v>64</v>
      </c>
      <c r="F18" s="451">
        <f>IF(ISNUMBER(Datos!N18),Datos!N18," - ")</f>
        <v>251</v>
      </c>
      <c r="G18" s="452">
        <f>IF(ISNUMBER(F18/B18),F18/B18," - ")</f>
        <v>251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509</v>
      </c>
      <c r="E23" s="1147">
        <f t="shared" si="3"/>
        <v>127.25</v>
      </c>
      <c r="F23" s="1146">
        <f>SUBTOTAL(9,F16:F22)</f>
        <v>1376</v>
      </c>
      <c r="G23" s="1147">
        <f t="shared" si="4"/>
        <v>344</v>
      </c>
      <c r="H23" s="1146">
        <f>SUBTOTAL(9,H16:H22)</f>
        <v>52</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1054</v>
      </c>
      <c r="E31" s="1085">
        <f>IF(ISNUMBER(D31/B31),D31/B31," - ")</f>
        <v>105.4</v>
      </c>
      <c r="F31" s="1084">
        <f>SUBTOTAL(9,F8:F30)</f>
        <v>2440</v>
      </c>
      <c r="G31" s="1085">
        <f>IF(ISNUMBER(F31/B31),F31/B31," - ")</f>
        <v>244</v>
      </c>
      <c r="H31" s="1084">
        <f>SUBTOTAL(9,H8:H30)</f>
        <v>1143</v>
      </c>
      <c r="I31" s="1085">
        <f>IF(ISNUMBER(H31/B31),H31/B31," - ")</f>
        <v>114.3</v>
      </c>
    </row>
    <row r="34" spans="1:1">
      <c r="A34" s="439" t="str">
        <f>Criterios!A4</f>
        <v>Fecha Informe: 05 may. 2023</v>
      </c>
    </row>
    <row r="39" spans="1:1">
      <c r="A39" s="462"/>
    </row>
  </sheetData>
  <sheetProtection algorithmName="SHA-512" hashValue="r8BkDg3pmrVXves07iZ8SYt9Mfl1xoFtz6vBCexCdUu5dVIQh9YOejc77DMjxWbFyttQrntc2D9avzlZA6f5Cw==" saltValue="mHq/INEy+t4IbHjpcSpR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ORIHUELA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655</v>
      </c>
      <c r="C9" s="489">
        <f>IF(ISNUMBER(Datos!Q9),Datos!Q9," - ")</f>
        <v>493</v>
      </c>
      <c r="D9" s="456">
        <f>IF(ISNUMBER(Datos!R9),Datos!R9," - ")</f>
        <v>15146</v>
      </c>
    </row>
    <row r="10" spans="1:4">
      <c r="A10" s="450" t="str">
        <f>Datos!A10</f>
        <v>Jdos. Violencia contra la mujer</v>
      </c>
      <c r="B10" s="488">
        <f>IF(ISNUMBER(Datos!P10),Datos!P10," - ")</f>
        <v>13</v>
      </c>
      <c r="C10" s="489">
        <f>IF(ISNUMBER(Datos!Q10),Datos!Q10," - ")</f>
        <v>5</v>
      </c>
      <c r="D10" s="456">
        <f>IF(ISNUMBER(Datos!R10),Datos!R10," - ")</f>
        <v>175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668</v>
      </c>
      <c r="C14" s="1150">
        <f>SUBTOTAL(9,C9:C13)</f>
        <v>498</v>
      </c>
      <c r="D14" s="1148">
        <f>SUBTOTAL(9,D9:D13)</f>
        <v>15321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79</v>
      </c>
      <c r="C16" s="489">
        <f>IF(ISNUMBER(Datos!Q16),Datos!Q16," - ")</f>
        <v>99</v>
      </c>
      <c r="D16" s="456">
        <f>IF(ISNUMBER(Datos!R16),Datos!R16," - ")</f>
        <v>220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12</v>
      </c>
      <c r="C18" s="489">
        <f>IF(ISNUMBER(Datos!Q18),Datos!Q18," - ")</f>
        <v>15</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91</v>
      </c>
      <c r="C23" s="1150">
        <f>SUBTOTAL(9,C16:C22)</f>
        <v>114</v>
      </c>
      <c r="D23" s="1148">
        <f>SUBTOTAL(9,D16:D22)</f>
        <v>232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759</v>
      </c>
      <c r="C31" s="1089">
        <f>SUBTOTAL(9,C8:C30)</f>
        <v>612</v>
      </c>
      <c r="D31" s="1090">
        <f>SUBTOTAL(9,D8:D30)</f>
        <v>15553</v>
      </c>
    </row>
    <row r="32" spans="1:4" ht="7.5" customHeight="1"/>
    <row r="33" spans="1:1" ht="6" customHeight="1"/>
    <row r="34" spans="1:1">
      <c r="A34" s="439" t="str">
        <f>Criterios!A4</f>
        <v>Fecha Informe: 05 may. 2023</v>
      </c>
    </row>
    <row r="39" spans="1:1">
      <c r="A39" s="462"/>
    </row>
  </sheetData>
  <sheetProtection algorithmName="SHA-512" hashValue="SMD5gkIZGS0wHSM8xSY+tlVMD81pHzXD0UoB63eX0zSOHTY+rPgyqnDL1tCV5ZFhXNIyYqp7bMvzyaFJlWZpmA==" saltValue="pBlrsJDCM8zKfw5peEcx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ORIHUELA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1.9099590723055934E-2</v>
      </c>
      <c r="C9" s="515">
        <f>IF(ISNUMBER(
   IF(J_V="SI",(Datos!J9-Datos!T9)/Datos!T9,(Datos!J9+Datos!Z9-(Datos!T9+Datos!AH9))/(Datos!T9+Datos!AH9))
     ),IF(J_V="SI",(Datos!J9-Datos!T9)/Datos!T9,(Datos!J9+Datos!Z9-(Datos!T9+Datos!AH9))/(Datos!T9+Datos!AH9))," - ")</f>
        <v>0.12197125256673512</v>
      </c>
      <c r="D9" s="515">
        <f>IF(ISNUMBER(
   IF(J_V="SI",(Datos!K9-Datos!U9)/Datos!U9,(Datos!K9+Datos!AA9-(Datos!U9+Datos!AI9))/(Datos!U9+Datos!AI9))
     ),IF(J_V="SI",(Datos!K9-Datos!U9)/Datos!U9,(Datos!K9+Datos!AA9-(Datos!U9+Datos!AI9))/(Datos!U9+Datos!AI9))," - ")</f>
        <v>-9.8510882016036652E-2</v>
      </c>
      <c r="E9" s="515">
        <f>IF(ISNUMBER(
   IF(J_V="SI",(Datos!L9-Datos!V9)/Datos!V9,(Datos!L9+Datos!AB9-(Datos!V9+Datos!AJ9))/(Datos!V9+Datos!AJ9))
     ),IF(J_V="SI",(Datos!L9-Datos!V9)/Datos!V9,(Datos!L9+Datos!AB9-(Datos!V9+Datos!AJ9))/(Datos!V9+Datos!AJ9))," - ")</f>
        <v>0.14686825053995681</v>
      </c>
      <c r="F9" s="515">
        <f>IF(ISNUMBER((Datos!M9-Datos!W9)/Datos!W9),(Datos!M9-Datos!W9)/Datos!W9," - ")</f>
        <v>-3.3027522935779818E-2</v>
      </c>
      <c r="G9" s="516">
        <f>IF(ISNUMBER((Datos!N9-Datos!X9)/Datos!X9),(Datos!N9-Datos!X9)/Datos!X9," - ")</f>
        <v>-5.6603773584905662E-2</v>
      </c>
      <c r="H9" s="514">
        <f>IF(ISNUMBER(((NºAsuntos!G9/NºAsuntos!E9)-Datos!BD9)/Datos!BD9),((NºAsuntos!G9/NºAsuntos!E9)-Datos!BD9)/Datos!BD9," - ")</f>
        <v>-0.19651317632102841</v>
      </c>
      <c r="I9" s="515">
        <f>IF(ISNUMBER(((NºAsuntos!I9/NºAsuntos!G9)-Datos!BE9)/Datos!BE9),((NºAsuntos!I9/NºAsuntos!G9)-Datos!BE9)/Datos!BE9," - ")</f>
        <v>0.27219311654559375</v>
      </c>
      <c r="J9" s="521">
        <f>IF(ISNUMBER((('Resol  Asuntos'!D9/NºAsuntos!G9)-Datos!BF9)/Datos!BF9),(('Resol  Asuntos'!D9/NºAsuntos!G9)-Datos!BF9)/Datos!BF9," - ")</f>
        <v>-0.47476342314634373</v>
      </c>
      <c r="K9" s="522">
        <f>IF(ISNUMBER((((NºAsuntos!C9+NºAsuntos!E9)/NºAsuntos!G9)-Datos!BG9)/Datos!BG9),(((NºAsuntos!C9+NºAsuntos!E9)/NºAsuntos!G9)-Datos!BG9)/Datos!BG9," - ")</f>
        <v>0.16394421764812059</v>
      </c>
    </row>
    <row r="10" spans="1:11">
      <c r="A10" s="450" t="str">
        <f>Datos!A10</f>
        <v>Jdos. Violencia contra la mujer</v>
      </c>
      <c r="B10" s="514">
        <f>IF(ISNUMBER((Datos!I10-Datos!S10)/Datos!S10),(Datos!I10-Datos!S10)/Datos!S10," - ")</f>
        <v>-0.25974025974025972</v>
      </c>
      <c r="C10" s="515">
        <f>IF(ISNUMBER((Datos!J10-Datos!T10)/Datos!T10),(Datos!J10-Datos!T10)/Datos!T10," - ")</f>
        <v>-0.25</v>
      </c>
      <c r="D10" s="515">
        <f>IF(ISNUMBER((Datos!K10-Datos!U10)/Datos!U10),(Datos!K10-Datos!U10)/Datos!U10," - ")</f>
        <v>-0.29411764705882354</v>
      </c>
      <c r="E10" s="515">
        <f>IF(ISNUMBER((Datos!L10-Datos!V10)/Datos!V10),(Datos!L10-Datos!V10)/Datos!V10," - ")</f>
        <v>-0.24503311258278146</v>
      </c>
      <c r="F10" s="515">
        <f>IF(ISNUMBER((Datos!M10-Datos!W10)/Datos!W10),(Datos!M10-Datos!W10)/Datos!W10," - ")</f>
        <v>-0.30769230769230771</v>
      </c>
      <c r="G10" s="516">
        <f>IF(ISNUMBER((Datos!N10-Datos!X10)/Datos!X10),(Datos!N10-Datos!X10)/Datos!X10," - ")</f>
        <v>7.6923076923076927E-2</v>
      </c>
      <c r="H10" s="514">
        <f>IF(ISNUMBER(((NºAsuntos!G10/NºAsuntos!E10)-Datos!BD10)/Datos!BD10),((NºAsuntos!G10/NºAsuntos!E10)-Datos!BD10)/Datos!BD10," - ")</f>
        <v>-5.8823529411764705E-2</v>
      </c>
      <c r="I10" s="515">
        <f>IF(ISNUMBER(((NºAsuntos!I10/NºAsuntos!G10)-Datos!BE10)/Datos!BE10),((NºAsuntos!I10/NºAsuntos!G10)-Datos!BE10)/Datos!BE10," - ")</f>
        <v>6.95364238410595E-2</v>
      </c>
      <c r="J10" s="521">
        <f>IF(ISNUMBER((('Resol  Asuntos'!D10/NºAsuntos!G10)-Datos!BF10)/Datos!BF10),(('Resol  Asuntos'!D10/NºAsuntos!G10)-Datos!BF10)/Datos!BF10," - ")</f>
        <v>-1.9230769230769162E-2</v>
      </c>
      <c r="K10" s="522">
        <f>IF(ISNUMBER((((NºAsuntos!C10+NºAsuntos!E10)/NºAsuntos!G10)-Datos!BG10)/Datos!BG10),(((NºAsuntos!C10+NºAsuntos!E10)/NºAsuntos!G10)-Datos!BG10)/Datos!BG10," - ")</f>
        <v>5.1980198019802019E-2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1.195814648729447E-2</v>
      </c>
      <c r="C14" s="1152">
        <f>IF(ISNUMBER(
   IF(J_V="SI",(Datos!J14-Datos!T14)/Datos!T14,(Datos!J14+Datos!Z14-(Datos!T14+Datos!AH14))/(Datos!T14+Datos!AH14))
     ),IF(J_V="SI",(Datos!J14-Datos!T14)/Datos!T14,(Datos!J14+Datos!Z14-(Datos!T14+Datos!AH14))/(Datos!T14+Datos!AH14))," - ")</f>
        <v>0.11478050745066452</v>
      </c>
      <c r="D14" s="1152">
        <f>IF(ISNUMBER(
   IF(J_V="SI",(Datos!K14-Datos!U14)/Datos!U14,(Datos!K14+Datos!AA14-(Datos!U14+Datos!AI14))/(Datos!U14+Datos!AI14))
     ),IF(J_V="SI",(Datos!K14-Datos!U14)/Datos!U14,(Datos!K14+Datos!AA14-(Datos!U14+Datos!AI14))/(Datos!U14+Datos!AI14))," - ")</f>
        <v>-0.10149812734082397</v>
      </c>
      <c r="E14" s="1152">
        <f>IF(ISNUMBER(
   IF(J_V="SI",(Datos!L14-Datos!V14)/Datos!V14,(Datos!L14+Datos!AB14-(Datos!V14+Datos!AJ14))/(Datos!V14+Datos!AJ14))
     ),IF(J_V="SI",(Datos!L14-Datos!V14)/Datos!V14,(Datos!L14+Datos!AB14-(Datos!V14+Datos!AJ14))/(Datos!V14+Datos!AJ14))," - ")</f>
        <v>0.13590192644483362</v>
      </c>
      <c r="F14" s="1153">
        <f>IF(ISNUMBER((Datos!M14-Datos!W14)/Datos!W14),(Datos!M14-Datos!W14)/Datos!W14," - ")</f>
        <v>-4.553415061295972E-2</v>
      </c>
      <c r="G14" s="1154">
        <f>IF(ISNUMBER((Datos!N14-Datos!X14)/Datos!X14),(Datos!N14-Datos!X14)/Datos!X14," - ")</f>
        <v>-5.5062166962699825E-2</v>
      </c>
      <c r="H14" s="1154">
        <f>IF(ISNUMBER(((NºAsuntos!G14/NºAsuntos!E14)-Datos!BD14)/Datos!BD14),((NºAsuntos!G14/NºAsuntos!E14)-Datos!BD14)/Datos!BD14," - ")</f>
        <v>-0.19401006148383887</v>
      </c>
      <c r="I14" s="1154">
        <f>IF(ISNUMBER(((NºAsuntos!I14/NºAsuntos!G14)-Datos!BE14)/Datos!BE14),((NºAsuntos!I14/NºAsuntos!G14)-Datos!BE14)/Datos!BE14," - ")</f>
        <v>0.26421765052426238</v>
      </c>
      <c r="J14" s="1154">
        <f>IF(ISNUMBER((('Resol  Asuntos'!D14/NºAsuntos!G14)-Datos!BF14)/Datos!BF14),(('Resol  Asuntos'!D14/NºAsuntos!G14)-Datos!BF14)/Datos!BF14," - ")</f>
        <v>-0.46745808997822846</v>
      </c>
      <c r="K14" s="1154">
        <f>IF(ISNUMBER((((NºAsuntos!C14+NºAsuntos!E14)/NºAsuntos!G14)-Datos!BG14)/Datos!BG14),(((NºAsuntos!C14+NºAsuntos!E14)/NºAsuntos!G14)-Datos!BG14)/Datos!BG14," - ")</f>
        <v>0.15968622470086899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4.1007615700058581E-3</v>
      </c>
      <c r="C16" s="515">
        <f>IF(ISNUMBER(
   IF(D_I="SI",(Datos!J16-Datos!T16)/Datos!T16,(Datos!J16+Datos!AD16-(Datos!T16+Datos!AL16))/(Datos!T16+Datos!AL16))
     ),IF(D_I="SI",(Datos!J16-Datos!T16)/Datos!T16,(Datos!J16+Datos!AD16-(Datos!T16+Datos!AL16))/(Datos!T16+Datos!AL16))," - ")</f>
        <v>5.3465346534653464E-2</v>
      </c>
      <c r="D16" s="515">
        <f>IF(ISNUMBER(
   IF(D_I="SI",(Datos!K16-Datos!U16)/Datos!U16,(Datos!K16+Datos!AE16-(Datos!U16+Datos!AM16))/(Datos!U16+Datos!AM16))
     ),IF(D_I="SI",(Datos!K16-Datos!U16)/Datos!U16,(Datos!K16+Datos!AE16-(Datos!U16+Datos!AM16))/(Datos!U16+Datos!AM16))," - ")</f>
        <v>-3.2314410480349345E-2</v>
      </c>
      <c r="E16" s="515">
        <f>IF(ISNUMBER(
   IF(D_I="SI",(Datos!L16-Datos!V16)/Datos!V16,(Datos!L16+Datos!AF16-(Datos!V16+Datos!AN16))/(Datos!V16+Datos!AN16))
     ),IF(D_I="SI",(Datos!L16-Datos!V16)/Datos!V16,(Datos!L16+Datos!AF16-(Datos!V16+Datos!AN16))/(Datos!V16+Datos!AN16))," - ")</f>
        <v>0.14768806073153901</v>
      </c>
      <c r="F16" s="515">
        <f>IF(ISNUMBER((Datos!M16-Datos!W16)/Datos!W16),(Datos!M16-Datos!W16)/Datos!W16," - ")</f>
        <v>8.2725060827250604E-2</v>
      </c>
      <c r="G16" s="516">
        <f>IF(ISNUMBER((Datos!N16-Datos!X16)/Datos!X16),(Datos!N16-Datos!X16)/Datos!X16," - ")</f>
        <v>-0.12925696594427244</v>
      </c>
      <c r="H16" s="514">
        <f>IF(ISNUMBER(((NºAsuntos!G16/NºAsuntos!E16)-Datos!BD16)/Datos!BD16),((NºAsuntos!G16/NºAsuntos!E16)-Datos!BD16)/Datos!BD16," - ")</f>
        <v>-8.1426273106346592E-2</v>
      </c>
      <c r="I16" s="515">
        <f>IF(ISNUMBER(((NºAsuntos!I16/NºAsuntos!G16)-Datos!BE16)/Datos!BE16),((NºAsuntos!I16/NºAsuntos!G16)-Datos!BE16)/Datos!BE16," - ")</f>
        <v>0.18601338405921675</v>
      </c>
      <c r="J16" s="521">
        <f>IF(ISNUMBER((('Resol  Asuntos'!D16/NºAsuntos!G16)-Datos!BF16)/Datos!BF16),(('Resol  Asuntos'!D16/NºAsuntos!G16)-Datos!BF16)/Datos!BF16," - ")</f>
        <v>0.1188810421003627</v>
      </c>
      <c r="K16" s="522">
        <f>IF(ISNUMBER((((NºAsuntos!C16+NºAsuntos!E16)/NºAsuntos!G16)-Datos!BG16)/Datos!BG16),(((NºAsuntos!C16+NºAsuntos!E16)/NºAsuntos!G16)-Datos!BG16)/Datos!BG16," - ")</f>
        <v>6.5279805187823434E-2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-0.33333333333333331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-6.2780269058295965E-2</v>
      </c>
      <c r="C18" s="515">
        <f>IF(ISNUMBER(
   IF(D_I="SI",(Datos!J18-Datos!T18)/Datos!T18,(Datos!J18+Datos!AD18-(Datos!T18+Datos!AL18))/(Datos!T18+Datos!AL18))
     ),IF(D_I="SI",(Datos!J18-Datos!T18)/Datos!T18,(Datos!J18+Datos!AD18-(Datos!T18+Datos!AL18))/(Datos!T18+Datos!AL18))," - ")</f>
        <v>0.22258064516129034</v>
      </c>
      <c r="D18" s="515">
        <f>IF(ISNUMBER(
   IF(D_I="SI",(Datos!K18-Datos!U18)/Datos!U18,(Datos!K18+Datos!AE18-(Datos!U18+Datos!AM18))/(Datos!U18+Datos!AM18))
     ),IF(D_I="SI",(Datos!K18-Datos!U18)/Datos!U18,(Datos!K18+Datos!AE18-(Datos!U18+Datos!AM18))/(Datos!U18+Datos!AM18))," - ")</f>
        <v>2.5139664804469275E-2</v>
      </c>
      <c r="E18" s="515">
        <f>IF(ISNUMBER(
   IF(D_I="SI",(Datos!L18-Datos!V18)/Datos!V18,(Datos!L18+Datos!AF18-(Datos!V18+Datos!AN18))/(Datos!V18+Datos!AN18))
     ),IF(D_I="SI",(Datos!L18-Datos!V18)/Datos!V18,(Datos!L18+Datos!AF18-(Datos!V18+Datos!AN18))/(Datos!V18+Datos!AN18))," - ")</f>
        <v>0.26285714285714284</v>
      </c>
      <c r="F18" s="515">
        <f>IF(ISNUMBER((Datos!M18-Datos!W18)/Datos!W18),(Datos!M18-Datos!W18)/Datos!W18," - ")</f>
        <v>0.20754716981132076</v>
      </c>
      <c r="G18" s="516">
        <f>IF(ISNUMBER((Datos!N18-Datos!X18)/Datos!X18),(Datos!N18-Datos!X18)/Datos!X18," - ")</f>
        <v>0.26767676767676768</v>
      </c>
      <c r="H18" s="514">
        <f>IF(ISNUMBER(((NºAsuntos!G18/NºAsuntos!E18)-Datos!BD18)/Datos!BD18),((NºAsuntos!G18/NºAsuntos!E18)-Datos!BD18)/Datos!BD18," - ")</f>
        <v>-0.1614952609778747</v>
      </c>
      <c r="I18" s="515">
        <f>IF(ISNUMBER(((NºAsuntos!I18/NºAsuntos!G18)-Datos!BE18)/Datos!BE18),((NºAsuntos!I18/NºAsuntos!G18)-Datos!BE18)/Datos!BE18," - ")</f>
        <v>0.23188789412222655</v>
      </c>
      <c r="J18" s="521">
        <f>IF(ISNUMBER((('Resol  Asuntos'!D18/NºAsuntos!G18)-Datos!BF18)/Datos!BF18),(('Resol  Asuntos'!D18/NºAsuntos!G18)-Datos!BF18)/Datos!BF18," - ")</f>
        <v>0.17793429643720104</v>
      </c>
      <c r="K18" s="522">
        <f>IF(ISNUMBER((((NºAsuntos!C18+NºAsuntos!E18)/NºAsuntos!G18)-Datos!BG18)/Datos!BG18),(((NºAsuntos!C18+NºAsuntos!E18)/NºAsuntos!G18)-Datos!BG18)/Datos!BG18," - ")</f>
        <v>7.6135800133939308E-2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-4.6535677352637023E-3</v>
      </c>
      <c r="C23" s="1152">
        <f>IF(ISNUMBER(
   IF(Criterios!B14="SI",(Datos!J23-Datos!T23)/Datos!T23,(Datos!J23+Datos!AD23-(Datos!T23+Datos!AL23))/(Datos!T23+Datos!AL23))
     ),IF(Criterios!B14="SI",(Datos!J23-Datos!T23)/Datos!T23,(Datos!J23+Datos!AD23-(Datos!T23+Datos!AL23))/(Datos!T23+Datos!AL23))," - ")</f>
        <v>7.5965665236051499E-2</v>
      </c>
      <c r="D23" s="1152">
        <f>IF(ISNUMBER(
   IF(Criterios!B14="SI",(Datos!K23-Datos!U23)/Datos!U23,(Datos!K23+Datos!AE23-(Datos!U23+Datos!AM23))/(Datos!U23+Datos!AM23))
     ),IF(Criterios!B14="SI",(Datos!K23-Datos!U23)/Datos!U23,(Datos!K23+Datos!AE23-(Datos!U23+Datos!AM23))/(Datos!U23+Datos!AM23))," - ")</f>
        <v>-2.491506228765572E-2</v>
      </c>
      <c r="E23" s="1152">
        <f>IF(ISNUMBER(
   IF(Criterios!B14="SI",(Datos!L23-Datos!V23)/Datos!V23,(Datos!L23+Datos!AF23-(Datos!V23+Datos!AN23))/(Datos!V23+Datos!AN23))
     ),IF(Criterios!B14="SI",(Datos!L23-Datos!V23)/Datos!V23,(Datos!L23+Datos!AF23-(Datos!V23+Datos!AN23))/(Datos!V23+Datos!AN23))," - ")</f>
        <v>0.15918869084204057</v>
      </c>
      <c r="F23" s="1153">
        <f>IF(ISNUMBER((Datos!M23-Datos!W23)/Datos!W23),(Datos!M23-Datos!W23)/Datos!W23," - ")</f>
        <v>9.6982758620689655E-2</v>
      </c>
      <c r="G23" s="1154">
        <f>IF(ISNUMBER((Datos!N23-Datos!X23)/Datos!X23),(Datos!N23-Datos!X23)/Datos!X23," - ")</f>
        <v>-7.6510067114093958E-2</v>
      </c>
      <c r="H23" s="1154">
        <f>IF(ISNUMBER(((NºAsuntos!G23/NºAsuntos!E23)-Datos!BD23)/Datos!BD23),((NºAsuntos!G23/NºAsuntos!E23)-Datos!BD23)/Datos!BD23," - ")</f>
        <v>-9.3758314770737136E-2</v>
      </c>
      <c r="I23" s="1154">
        <f>IF(ISNUMBER(((NºAsuntos!I23/NºAsuntos!G23)-Datos!BE23)/Datos!BE23),((NºAsuntos!I23/NºAsuntos!G23)-Datos!BE23)/Datos!BE23," - ")</f>
        <v>0.18880791406913106</v>
      </c>
      <c r="J23" s="1154">
        <f>IF(ISNUMBER((('Resol  Asuntos'!D23/NºAsuntos!G23)-Datos!BF23)/Datos!BF23),(('Resol  Asuntos'!D23/NºAsuntos!G23)-Datos!BF23)/Datos!BF23," - ")</f>
        <v>0.12501251551924389</v>
      </c>
      <c r="K23" s="1154">
        <f>IF(ISNUMBER((((NºAsuntos!C23+NºAsuntos!E23)/NºAsuntos!G23)-Datos!BG23)/Datos!BG23),(((NºAsuntos!C23+NºAsuntos!E23)/NºAsuntos!G23)-Datos!BG23)/Datos!BG23," - ")</f>
        <v>6.5958035618951777E-2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7.9195474544311757E-3</v>
      </c>
      <c r="C31" s="1092">
        <f>IF(ISNUMBER(
   IF(J_V="SI",(Datos!J31-Datos!T31)/Datos!T31,(Datos!J31+Datos!Z31-(Datos!T31+Datos!AH31))/(Datos!T31+Datos!AH31))
     ),IF(J_V="SI",(Datos!J31-Datos!T31)/Datos!T31,(Datos!J31+Datos!Z31-(Datos!T31+Datos!AH31))/(Datos!T31+Datos!AH31))," - ")</f>
        <v>9.5990027010180765E-2</v>
      </c>
      <c r="D31" s="1092">
        <f>IF(ISNUMBER(
   IF(J_V="SI",(Datos!K31-Datos!U31)/Datos!U31,(Datos!K31+Datos!AA31-(Datos!U31+Datos!AI31))/(Datos!U31+Datos!AI31))
     ),IF(J_V="SI",(Datos!K31-Datos!U31)/Datos!U31,(Datos!K31+Datos!AA31-(Datos!U31+Datos!AI31))/(Datos!U31+Datos!AI31))," - ")</f>
        <v>-6.3357774017672494E-2</v>
      </c>
      <c r="E31" s="1092">
        <f>IF(ISNUMBER(
   IF(J_V="SI",(Datos!L31-Datos!V31)/Datos!V31,(Datos!L31+Datos!AB31-(Datos!V31+Datos!AJ31))/(Datos!V31+Datos!AJ31))
     ),IF(J_V="SI",(Datos!L31-Datos!V31)/Datos!V31,(Datos!L31+Datos!AB31-(Datos!V31+Datos!AJ31))/(Datos!V31+Datos!AJ31))," - ")</f>
        <v>0.14106583072100312</v>
      </c>
      <c r="F31" s="1093">
        <f>IF(ISNUMBER((Datos!M31-Datos!W31)/Datos!W31),(Datos!M31-Datos!W31)/Datos!W31," - ")</f>
        <v>1.8357487922705314E-2</v>
      </c>
      <c r="G31" s="1094">
        <f>IF(ISNUMBER((Datos!N31-Datos!X31)/Datos!X31),(Datos!N31-Datos!X31)/Datos!X31," - ")</f>
        <v>-6.7278287461773695E-2</v>
      </c>
      <c r="H31" s="1095">
        <f>IF(ISNUMBER((Tasas!B31-Datos!BD31)/Datos!BD31),(Tasas!B31-Datos!BD31)/Datos!BD31," - ")</f>
        <v>-0.14539165238806778</v>
      </c>
      <c r="I31" s="1096">
        <f>IF(ISNUMBER((Tasas!C31-Datos!BE31)/Datos!BE31),(Tasas!C31-Datos!BE31)/Datos!BE31," - ")</f>
        <v>0.21825153625150859</v>
      </c>
      <c r="J31" s="1097">
        <f>IF(ISNUMBER((Tasas!D31-Datos!BF31)/Datos!BF31),(Tasas!D31-Datos!BF31)/Datos!BF31," - ")</f>
        <v>-0.29800607201521229</v>
      </c>
      <c r="K31" s="1097">
        <f>IF(ISNUMBER((Tasas!E31-Datos!BG31)/Datos!BG31),(Tasas!E31-Datos!BG31)/Datos!BG31," - ")</f>
        <v>0.111543332312113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k+v6zQHcaYFvd7fMt8YWkDcJwd+6MNpcibyP1mMKcbGSMQUlZNqdlXsNKVhZL+uF6Ghaf8iib1aj7irbS0L8w==" saltValue="vizVOZKmpu0QJTN7eki4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ORIHUELA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0.86420204978038062</v>
      </c>
      <c r="C9" s="498">
        <f>IF(ISNUMBER(NºAsuntos!I9/NºAsuntos!G9),NºAsuntos!I9/NºAsuntos!G9," - ")</f>
        <v>2.6988564167725539</v>
      </c>
      <c r="D9" s="499">
        <f>IF(ISNUMBER('Resol  Asuntos'!D9/NºAsuntos!G9),'Resol  Asuntos'!D9/NºAsuntos!G9," - ")</f>
        <v>0.22321050402371875</v>
      </c>
      <c r="E9" s="500">
        <f>IF(ISNUMBER((NºAsuntos!C9+NºAsuntos!E9)/NºAsuntos!G9),(NºAsuntos!C9+NºAsuntos!E9)/NºAsuntos!G9," - ")</f>
        <v>3.6882676831850909</v>
      </c>
      <c r="G9" s="523"/>
    </row>
    <row r="10" spans="1:7">
      <c r="A10" s="450" t="str">
        <f>Datos!A10</f>
        <v>Jdos. Violencia contra la mujer</v>
      </c>
      <c r="B10" s="497">
        <f>IF(ISNUMBER(NºAsuntos!G10/NºAsuntos!E10),NºAsuntos!G10/NºAsuntos!E10," - ")</f>
        <v>1</v>
      </c>
      <c r="C10" s="498">
        <f>IF(ISNUMBER(NºAsuntos!I10/NºAsuntos!G10),NºAsuntos!I10/NºAsuntos!G10," - ")</f>
        <v>3.1666666666666665</v>
      </c>
      <c r="D10" s="499">
        <f>IF(ISNUMBER('Resol  Asuntos'!D10/NºAsuntos!G10),'Resol  Asuntos'!D10/NºAsuntos!G10," - ")</f>
        <v>0.5</v>
      </c>
      <c r="E10" s="500">
        <f>IF(ISNUMBER((NºAsuntos!C10+NºAsuntos!E10)/NºAsuntos!G10),(NºAsuntos!C10+NºAsuntos!E10)/NºAsuntos!G10," - ")</f>
        <v>4.166666666666667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0.86669075144508667</v>
      </c>
      <c r="C14" s="1156">
        <f>IF(ISNUMBER(NºAsuntos!I14/NºAsuntos!G14),NºAsuntos!I14/NºAsuntos!G14," - ")</f>
        <v>2.7036265110462692</v>
      </c>
      <c r="D14" s="1157">
        <f>IF(ISNUMBER('Resol  Asuntos'!D14/NºAsuntos!G14),'Resol  Asuntos'!D14/NºAsuntos!G14," - ")</f>
        <v>0.22717799082951229</v>
      </c>
      <c r="E14" s="1158">
        <f>IF(ISNUMBER((NºAsuntos!C14+NºAsuntos!E14)/NºAsuntos!G14),(NºAsuntos!C14+NºAsuntos!E14)/NºAsuntos!G14," - ")</f>
        <v>3.6936223426427679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1.0413533834586466</v>
      </c>
      <c r="C16" s="498">
        <f>IF(ISNUMBER(NºAsuntos!I16/NºAsuntos!G16),NºAsuntos!I16/NºAsuntos!G16," - ")</f>
        <v>0.75045126353790614</v>
      </c>
      <c r="D16" s="499">
        <f>IF(ISNUMBER('Resol  Asuntos'!D16/NºAsuntos!G16),'Resol  Asuntos'!D16/NºAsuntos!G16," - ")</f>
        <v>0.20081227436823104</v>
      </c>
      <c r="E16" s="500">
        <f>IF(ISNUMBER((NºAsuntos!C16+NºAsuntos!E16)/NºAsuntos!G16),(NºAsuntos!C16+NºAsuntos!E16)/NºAsuntos!G16," - ")</f>
        <v>1.7337545126353791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0.9683377308707124</v>
      </c>
      <c r="C18" s="498">
        <f>IF(ISNUMBER(NºAsuntos!I18/NºAsuntos!G18),NºAsuntos!I18/NºAsuntos!G18," - ")</f>
        <v>0.60217983651226159</v>
      </c>
      <c r="D18" s="499">
        <f>IF(ISNUMBER('Resol  Asuntos'!D18/NºAsuntos!G18),'Resol  Asuntos'!D18/NºAsuntos!G18," - ")</f>
        <v>0.17438692098092642</v>
      </c>
      <c r="E18" s="500">
        <f>IF(ISNUMBER((NºAsuntos!C18+NºAsuntos!E18)/NºAsuntos!G18),(NºAsuntos!C18+NºAsuntos!E18)/NºAsuntos!G18," - ")</f>
        <v>1.6021798365122615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1.0303151176705225</v>
      </c>
      <c r="C23" s="1156">
        <f>IF(ISNUMBER(NºAsuntos!I23/NºAsuntos!G23),NºAsuntos!I23/NºAsuntos!G23," - ")</f>
        <v>0.73015873015873012</v>
      </c>
      <c r="D23" s="1159">
        <f>IF(ISNUMBER('Resol  Asuntos'!D23/NºAsuntos!G23),'Resol  Asuntos'!D23/NºAsuntos!G23," - ")</f>
        <v>0.19705768486256292</v>
      </c>
      <c r="E23" s="1158">
        <f>IF(ISNUMBER((NºAsuntos!C23+NºAsuntos!E23)/NºAsuntos!G23),(NºAsuntos!C23+NºAsuntos!E23)/NºAsuntos!G23," - ")</f>
        <v>1.7158343012001549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0.94445497630331754</v>
      </c>
      <c r="C31" s="1099">
        <f>IF(ISNUMBER(NºAsuntos!I31/NºAsuntos!G31),NºAsuntos!I31/NºAsuntos!G31," - ")</f>
        <v>1.6804496186270574</v>
      </c>
      <c r="D31" s="1100">
        <f>IF(ISNUMBER('Resol  Asuntos'!D31/NºAsuntos!G31),'Resol  Asuntos'!D31/NºAsuntos!G31," - ")</f>
        <v>0.21156162183861904</v>
      </c>
      <c r="E31" s="1101">
        <f>IF(ISNUMBER((NºAsuntos!C31+NºAsuntos!E31)/NºAsuntos!G31),(NºAsuntos!C31+NºAsuntos!E31)/NºAsuntos!G31," - ")</f>
        <v>2.6682055399437976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MjINv+1XR3aRCFQ9WjuhIF8l7yjZ/73URoMKKbVpvVVfLTUgtWXYOoGQ/EoCS9SqDpdT1p6CI1d691vZ1tbqA==" saltValue="N6+X3u4X5GwBT0wUpVt9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ORIHUELA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655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493</v>
      </c>
      <c r="Y9" s="374">
        <f>SUM(W9:X9)</f>
        <v>493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15146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527</v>
      </c>
      <c r="AJ9" s="243" t="str">
        <f>IF(ISNUMBER(Datos!BW9),Datos!BW9," - ")</f>
        <v xml:space="preserve"> - </v>
      </c>
      <c r="AK9" s="242" t="str">
        <f>IF(ISNUMBER(Datos!BX9),Datos!BX9," - ")</f>
        <v xml:space="preserve"> - </v>
      </c>
      <c r="AL9" s="266">
        <f>IF(ISNUMBER(NºAsuntos!G9/NºAsuntos!E9),NºAsuntos!G9/NºAsuntos!E9," - ")</f>
        <v>0.86420204978038062</v>
      </c>
      <c r="AM9" s="284">
        <f>IF(ISNUMBER(((NºAsuntos!I9/NºAsuntos!G9)*11)/factor_trimestre),((NºAsuntos!I9/NºAsuntos!G9)*11)/factor_trimestre," - ")</f>
        <v>8.0965692503176623</v>
      </c>
      <c r="AN9" s="267">
        <f>IF(ISNUMBER('Resol  Asuntos'!D9/NºAsuntos!G9),'Resol  Asuntos'!D9/NºAsuntos!G9," - ")</f>
        <v>0.22321050402371875</v>
      </c>
      <c r="AO9" s="268">
        <f>IF(ISNUMBER((NºAsuntos!C9+NºAsuntos!E9)/NºAsuntos!G9),(NºAsuntos!C9+NºAsuntos!E9)/NºAsuntos!G9," - ")</f>
        <v>3.6882676831850909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114</v>
      </c>
      <c r="G10" s="373">
        <f>IF(ISNUMBER(Datos!I10),Datos!I10," - ")</f>
        <v>114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5</v>
      </c>
      <c r="Y10" s="374">
        <f t="shared" ref="Y10:Y13" si="0">SUM(W10:X10)</f>
        <v>41</v>
      </c>
      <c r="Z10" s="375" t="str">
        <f>IF(ISNUMBER(Datos!CC10),Datos!CC10," - ")</f>
        <v xml:space="preserve"> - </v>
      </c>
      <c r="AA10" s="372">
        <f>IF(ISNUMBER(Datos!L10),Datos!L10,"-")</f>
        <v>114</v>
      </c>
      <c r="AB10" s="374">
        <f>IF(ISNUMBER(Datos!R10),Datos!R10," - ")</f>
        <v>175</v>
      </c>
      <c r="AC10" s="374">
        <f t="shared" ref="AC10:AC13" si="1">IF(ISNUMBER(AA10+AB10),AA10+AB10," - ")</f>
        <v>289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9.4999999999999982</v>
      </c>
      <c r="AN10" s="267">
        <f>IF(ISNUMBER('Resol  Asuntos'!D10/NºAsuntos!G10),'Resol  Asuntos'!D10/NºAsuntos!G10," - ")</f>
        <v>0.5</v>
      </c>
      <c r="AO10" s="268">
        <f>IF(ISNUMBER((NºAsuntos!C10+NºAsuntos!E10)/NºAsuntos!G10),(NºAsuntos!C10+NºAsuntos!E10)/NºAsuntos!G10," - ")</f>
        <v>4.166666666666667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114</v>
      </c>
      <c r="G14" s="1163">
        <f t="shared" si="5"/>
        <v>114</v>
      </c>
      <c r="H14" s="1162">
        <f t="shared" si="5"/>
        <v>0</v>
      </c>
      <c r="I14" s="1164">
        <f t="shared" si="5"/>
        <v>0</v>
      </c>
      <c r="J14" s="1164">
        <f t="shared" si="5"/>
        <v>0</v>
      </c>
      <c r="K14" s="1164">
        <f t="shared" si="5"/>
        <v>0</v>
      </c>
      <c r="L14" s="1164">
        <f t="shared" si="5"/>
        <v>668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498</v>
      </c>
      <c r="Y14" s="1165">
        <f t="shared" si="6"/>
        <v>534</v>
      </c>
      <c r="Z14" s="1165">
        <f t="shared" si="6"/>
        <v>0</v>
      </c>
      <c r="AA14" s="1165">
        <f t="shared" si="6"/>
        <v>114</v>
      </c>
      <c r="AB14" s="1165">
        <f t="shared" si="6"/>
        <v>15321</v>
      </c>
      <c r="AC14" s="1165">
        <f t="shared" si="6"/>
        <v>289</v>
      </c>
      <c r="AD14" s="1165">
        <f t="shared" si="6"/>
        <v>0</v>
      </c>
      <c r="AE14" s="1169">
        <f t="shared" si="6"/>
        <v>0</v>
      </c>
      <c r="AF14" s="1162">
        <f t="shared" si="6"/>
        <v>0</v>
      </c>
      <c r="AG14" s="1170">
        <f t="shared" si="6"/>
        <v>0</v>
      </c>
      <c r="AH14" s="1167">
        <f t="shared" si="6"/>
        <v>0</v>
      </c>
      <c r="AI14" s="1162">
        <f t="shared" si="6"/>
        <v>545</v>
      </c>
      <c r="AJ14" s="1164">
        <f t="shared" si="6"/>
        <v>0</v>
      </c>
      <c r="AK14" s="1167">
        <f>SUBTOTAL(9,AK9:AK13)</f>
        <v>0</v>
      </c>
      <c r="AL14" s="1171">
        <f>IF(ISNUMBER(NºAsuntos!G14/NºAsuntos!E14),NºAsuntos!G14/NºAsuntos!E14," - ")</f>
        <v>0.86669075144508667</v>
      </c>
      <c r="AM14" s="1171">
        <f>IF(ISNUMBER(((NºAsuntos!I14/NºAsuntos!G14)*11)/factor_trimestre),((NºAsuntos!I14/NºAsuntos!G14)*11)/factor_trimestre," - ")</f>
        <v>8.1108795331388084</v>
      </c>
      <c r="AN14" s="1172">
        <f>IF(ISNUMBER('Resol  Asuntos'!D14/NºAsuntos!G14),'Resol  Asuntos'!D14/NºAsuntos!G14," - ")</f>
        <v>0.22717799082951229</v>
      </c>
      <c r="AO14" s="1173">
        <f>IF(ISNUMBER((NºAsuntos!C14+NºAsuntos!E14)/NºAsuntos!G14),(NºAsuntos!C14+NºAsuntos!E14)/NºAsuntos!G14," - ")</f>
        <v>3.6936223426427679</v>
      </c>
      <c r="AP14" s="1174" t="str">
        <f t="shared" si="2"/>
        <v xml:space="preserve"> - </v>
      </c>
      <c r="AQ14" s="1174">
        <f>IF(ISNUMBER((H14-W14+K14)/(F14)),(H14-W14+K14)/(F14)," - ")</f>
        <v>-0.31578947368421051</v>
      </c>
      <c r="AR14" s="1175">
        <f>IF(ISNUMBER((Datos!P14-Datos!Q14)/(Datos!R14-Datos!P14+Datos!Q14)),(Datos!P14-Datos!Q14)/(Datos!R14-Datos!P14+Datos!Q14)," - ")</f>
        <v>1.1220381492970761E-2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1751</v>
      </c>
      <c r="G16" s="373">
        <f>IF(ISNUMBER(IF(D_I="SI",Datos!I16,Datos!I16+Datos!AC16)),IF(D_I="SI",Datos!I16,Datos!I16+Datos!AC16)," - ")</f>
        <v>1714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2216</v>
      </c>
      <c r="X16" s="240">
        <f>IF(ISNUMBER(Datos!Q16),Datos!Q16," - ")</f>
        <v>99</v>
      </c>
      <c r="Y16" s="374">
        <f>SUM(W16)</f>
        <v>2216</v>
      </c>
      <c r="Z16" s="375" t="str">
        <f>IF(ISNUMBER(Datos!CC16),Datos!CC16," - ")</f>
        <v xml:space="preserve"> - </v>
      </c>
      <c r="AA16" s="372">
        <f>IF(ISNUMBER(IF(D_I="SI",Datos!L16,Datos!L16+Datos!AF16)),IF(D_I="SI",Datos!L16,Datos!L16+Datos!AF16)," - ")</f>
        <v>1663</v>
      </c>
      <c r="AB16" s="374">
        <f>IF(ISNUMBER(Datos!R16),Datos!R16," - ")</f>
        <v>220</v>
      </c>
      <c r="AC16" s="374">
        <f t="shared" ref="AC16:AC22" si="8">IF(ISNUMBER(AA16+AB16),AA16+AB16," - ")</f>
        <v>1883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445</v>
      </c>
      <c r="AJ16" s="245" t="str">
        <f>IF(ISNUMBER(Datos!BW16),Datos!BW16," - ")</f>
        <v xml:space="preserve"> - </v>
      </c>
      <c r="AK16" s="246" t="str">
        <f>IF(ISNUMBER(Datos!BX16),Datos!BX16," - ")</f>
        <v xml:space="preserve"> - </v>
      </c>
      <c r="AL16" s="266">
        <f>IF(ISNUMBER(NºAsuntos!G16/NºAsuntos!E16),NºAsuntos!G16/NºAsuntos!E16," - ")</f>
        <v>1.0413533834586466</v>
      </c>
      <c r="AM16" s="284">
        <f>IF(ISNUMBER(((NºAsuntos!I16/NºAsuntos!G16)*11)/factor_trimestre),((NºAsuntos!I16/NºAsuntos!G16)*11)/factor_trimestre," - ")</f>
        <v>2.2513537906137184</v>
      </c>
      <c r="AN16" s="267">
        <f>IF(ISNUMBER('Resol  Asuntos'!D16/NºAsuntos!G16),'Resol  Asuntos'!D16/NºAsuntos!G16," - ")</f>
        <v>0.20081227436823104</v>
      </c>
      <c r="AO16" s="268">
        <f>IF(ISNUMBER((NºAsuntos!C16+NºAsuntos!E16)/NºAsuntos!G16),(NºAsuntos!C16+NºAsuntos!E16)/NºAsuntos!G16," - ")</f>
        <v>1.7337545126353791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367</v>
      </c>
      <c r="X18" s="240">
        <f>IF(ISNUMBER(Datos!Q18),Datos!Q18," - ")</f>
        <v>15</v>
      </c>
      <c r="Y18" s="374">
        <f t="shared" si="9"/>
        <v>382</v>
      </c>
      <c r="Z18" s="375" t="str">
        <f>IF(ISNUMBER(Datos!CC18),Datos!CC18," - ")</f>
        <v xml:space="preserve"> - </v>
      </c>
      <c r="AA18" s="372">
        <f>IF(ISNUMBER(Datos!L18),Datos!L18,"-")</f>
        <v>221</v>
      </c>
      <c r="AB18" s="374">
        <f>IF(ISNUMBER(Datos!R18),Datos!R18," - ")</f>
        <v>12</v>
      </c>
      <c r="AC18" s="374">
        <f t="shared" si="8"/>
        <v>233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0.9683377308707124</v>
      </c>
      <c r="AM18" s="284">
        <f>IF(ISNUMBER(((NºAsuntos!I18/NºAsuntos!G18)*11)/factor_trimestre),((NºAsuntos!I18/NºAsuntos!G18)*11)/factor_trimestre," - ")</f>
        <v>1.8065395095367849</v>
      </c>
      <c r="AN18" s="267">
        <f>IF(ISNUMBER('Resol  Asuntos'!D18/NºAsuntos!G18),'Resol  Asuntos'!D18/NºAsuntos!G18," - ")</f>
        <v>0.17438692098092642</v>
      </c>
      <c r="AO18" s="268">
        <f>IF(ISNUMBER((NºAsuntos!C18+NºAsuntos!E18)/NºAsuntos!G18),(NºAsuntos!C18+NºAsuntos!E18)/NºAsuntos!G18," - ")</f>
        <v>1.6021798365122615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1753</v>
      </c>
      <c r="G23" s="1163">
        <f>SUBTOTAL(9,G16:G22)</f>
        <v>1925</v>
      </c>
      <c r="H23" s="1162">
        <f t="shared" ref="H23:O23" si="13">SUBTOTAL(9,H15:H22)</f>
        <v>0</v>
      </c>
      <c r="I23" s="1164">
        <f t="shared" si="13"/>
        <v>0</v>
      </c>
      <c r="J23" s="1164">
        <f t="shared" si="13"/>
        <v>0</v>
      </c>
      <c r="K23" s="1164">
        <f t="shared" si="13"/>
        <v>0</v>
      </c>
      <c r="L23" s="1164">
        <f t="shared" si="13"/>
        <v>91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2583</v>
      </c>
      <c r="X23" s="1164">
        <f t="shared" si="14"/>
        <v>114</v>
      </c>
      <c r="Y23" s="1165">
        <f t="shared" si="14"/>
        <v>2598</v>
      </c>
      <c r="Z23" s="1165">
        <f t="shared" si="14"/>
        <v>0</v>
      </c>
      <c r="AA23" s="1165">
        <f t="shared" si="14"/>
        <v>1886</v>
      </c>
      <c r="AB23" s="1165">
        <f t="shared" si="14"/>
        <v>232</v>
      </c>
      <c r="AC23" s="1165">
        <f t="shared" si="14"/>
        <v>2118</v>
      </c>
      <c r="AD23" s="1165">
        <f t="shared" si="14"/>
        <v>0</v>
      </c>
      <c r="AE23" s="1169">
        <f t="shared" si="14"/>
        <v>0</v>
      </c>
      <c r="AF23" s="1162">
        <f t="shared" si="14"/>
        <v>0</v>
      </c>
      <c r="AG23" s="1170">
        <f t="shared" si="14"/>
        <v>0</v>
      </c>
      <c r="AH23" s="1167">
        <f t="shared" si="14"/>
        <v>0</v>
      </c>
      <c r="AI23" s="1162">
        <f t="shared" si="14"/>
        <v>509</v>
      </c>
      <c r="AJ23" s="1164">
        <f t="shared" si="14"/>
        <v>0</v>
      </c>
      <c r="AK23" s="1167">
        <f t="shared" si="14"/>
        <v>0</v>
      </c>
      <c r="AL23" s="1171">
        <f>IF(ISNUMBER(NºAsuntos!G23/NºAsuntos!E23),NºAsuntos!G23/NºAsuntos!E23," - ")</f>
        <v>1.0303151176705225</v>
      </c>
      <c r="AM23" s="1171">
        <f>IF(ISNUMBER(((NºAsuntos!I23/NºAsuntos!G23)*11)/factor_trimestre),((NºAsuntos!I23/NºAsuntos!G23)*11)/factor_trimestre," - ")</f>
        <v>2.1904761904761907</v>
      </c>
      <c r="AN23" s="1172">
        <f>IF(ISNUMBER('Resol  Asuntos'!D23/NºAsuntos!G23),'Resol  Asuntos'!D23/NºAsuntos!G23," - ")</f>
        <v>0.19705768486256292</v>
      </c>
      <c r="AO23" s="1173">
        <f>IF(ISNUMBER((NºAsuntos!C23+NºAsuntos!E23)/NºAsuntos!G23),(NºAsuntos!C23+NºAsuntos!E23)/NºAsuntos!G23," - ")</f>
        <v>1.7158343012001549</v>
      </c>
      <c r="AP23" s="1174" t="str">
        <f t="shared" si="2"/>
        <v xml:space="preserve"> - </v>
      </c>
      <c r="AQ23" s="1174">
        <f>IF(ISNUMBER((H23-W23+K23)/(F23)),(H23-W23+K23)/(F23)," - ")</f>
        <v>-1.4734740444951511</v>
      </c>
      <c r="AR23" s="1175">
        <f>IF(ISNUMBER((Datos!P23-Datos!Q23)/(Datos!R23-Datos!P23+Datos!Q23)),(Datos!P23-Datos!Q23)/(Datos!R23-Datos!P23+Datos!Q23)," - ")</f>
        <v>-9.0196078431372548E-2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1867</v>
      </c>
      <c r="G31" s="1118">
        <f t="shared" si="20"/>
        <v>2039</v>
      </c>
      <c r="H31" s="1117">
        <f t="shared" si="20"/>
        <v>0</v>
      </c>
      <c r="I31" s="1119">
        <f t="shared" si="20"/>
        <v>0</v>
      </c>
      <c r="J31" s="1119">
        <f t="shared" si="20"/>
        <v>0</v>
      </c>
      <c r="K31" s="1180">
        <f t="shared" si="20"/>
        <v>0</v>
      </c>
      <c r="L31" s="1119">
        <f t="shared" si="20"/>
        <v>759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2619</v>
      </c>
      <c r="X31" s="1118">
        <f t="shared" si="21"/>
        <v>612</v>
      </c>
      <c r="Y31" s="1125">
        <f t="shared" si="21"/>
        <v>3132</v>
      </c>
      <c r="Z31" s="1125">
        <f t="shared" si="21"/>
        <v>0</v>
      </c>
      <c r="AA31" s="1125">
        <f t="shared" si="21"/>
        <v>2000</v>
      </c>
      <c r="AB31" s="1125">
        <f t="shared" si="21"/>
        <v>15553</v>
      </c>
      <c r="AC31" s="1125">
        <f t="shared" si="21"/>
        <v>2407</v>
      </c>
      <c r="AD31" s="1125">
        <f t="shared" si="21"/>
        <v>0</v>
      </c>
      <c r="AE31" s="1127">
        <f t="shared" si="21"/>
        <v>0</v>
      </c>
      <c r="AF31" s="1128">
        <f t="shared" si="21"/>
        <v>0</v>
      </c>
      <c r="AG31" s="1129">
        <f t="shared" si="21"/>
        <v>0</v>
      </c>
      <c r="AH31" s="1127">
        <f t="shared" si="21"/>
        <v>0</v>
      </c>
      <c r="AI31" s="1117">
        <f t="shared" si="21"/>
        <v>1054</v>
      </c>
      <c r="AJ31" s="1117">
        <f t="shared" si="21"/>
        <v>0</v>
      </c>
      <c r="AK31" s="1127">
        <f t="shared" si="21"/>
        <v>0</v>
      </c>
      <c r="AL31" s="1183">
        <f>IF(ISNUMBER(NºAsuntos!G31/NºAsuntos!E31),NºAsuntos!G31/NºAsuntos!E31," - ")</f>
        <v>0.94445497630331754</v>
      </c>
      <c r="AM31" s="1184">
        <f>IF(ISNUMBER(((NºAsuntos!I31/NºAsuntos!G31)*11)/factor_trimestre),((NºAsuntos!I31/NºAsuntos!G31)*11)/factor_trimestre," - ")</f>
        <v>5.0413488558811723</v>
      </c>
      <c r="AN31" s="1184">
        <f>IF(ISNUMBER('Resol  Asuntos'!D31/NºAsuntos!G31),'Resol  Asuntos'!D31/NºAsuntos!G31," - ")</f>
        <v>0.21156162183861904</v>
      </c>
      <c r="AO31" s="1185">
        <f>IF(ISNUMBER((NºAsuntos!C31+NºAsuntos!E31)/NºAsuntos!G31),(NºAsuntos!C31+NºAsuntos!E31)/NºAsuntos!G31," - ")</f>
        <v>2.6682055399437976</v>
      </c>
      <c r="AP31" s="1186" t="str">
        <f t="shared" si="2"/>
        <v xml:space="preserve"> - </v>
      </c>
      <c r="AQ31" s="1187">
        <f>IF(OR(ISNUMBER(FIND("01",Criterios!A8,1)),ISNUMBER(FIND("02",Criterios!A8,1)),ISNUMBER(FIND("03",Criterios!A8,1)),ISNUMBER(FIND("04",Criterios!A8,1))),(I31-W31+K31)/(F31-K31),(H31-W31+K31)/(F31-K31))</f>
        <v>-1.402785216925549</v>
      </c>
      <c r="AR31" s="1188">
        <f>IF(ISNUMBER((Datos!P31-Datos!Q31)/(Datos!R31-Datos!P31+Datos!Q31)),(Datos!P31-Datos!Q31)/(Datos!R31-Datos!P31+Datos!Q31)," - ")</f>
        <v>9.54173698559003E-3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509.75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833.98478346287538</v>
      </c>
      <c r="G33" s="277">
        <f>IF(ISNUMBER(STDEV(G8:G30)),STDEV(G8:G30),"-")</f>
        <v>813.66345271599505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1088.2650346833191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256.45307129722153</v>
      </c>
      <c r="AJ33" s="276">
        <f t="shared" si="25"/>
        <v>0</v>
      </c>
      <c r="AK33" s="278">
        <f t="shared" si="25"/>
        <v>0</v>
      </c>
      <c r="AL33" s="273">
        <f t="shared" si="25"/>
        <v>7.8862122095739784E-2</v>
      </c>
      <c r="AM33" s="274">
        <f t="shared" si="25"/>
        <v>3.8479241009345597</v>
      </c>
      <c r="AN33" s="274">
        <f t="shared" si="25"/>
        <v>0.14707927361404777</v>
      </c>
      <c r="AO33" s="275">
        <f t="shared" si="25"/>
        <v>1.1952082690179644</v>
      </c>
      <c r="AP33" s="317" t="str">
        <f t="shared" si="25"/>
        <v>-</v>
      </c>
      <c r="AQ33" s="318">
        <f t="shared" si="25"/>
        <v>0.81860661049545391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n2WDKvWqTuhmOjkXIa2lzRwEfoA7B4L1Ldzk9WCwWoB4c7svr4iaLDI9LdfXyyGCPzX+aH0Rn6AJpSSu/t55w==" saltValue="t2cyHraMgbujUy1OCCJ6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ORIHUELA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-3.3027522935779818E-2</v>
      </c>
      <c r="I9" s="395">
        <f>IF(ISNUMBER((Tasas!C9-Datos!BE9)/Datos!BE9),(Tasas!C9-Datos!BE9)/Datos!BE9," - ")</f>
        <v>0.27219311654559375</v>
      </c>
      <c r="J9" s="394">
        <f>IF(ISNUMBER((Tasas!D9-Datos!BF9)/Datos!BF9),(Tasas!D9-Datos!BF9)/Datos!BF9," - ")</f>
        <v>-0.47476342314634373</v>
      </c>
      <c r="K9" s="396">
        <f>IF(ISNUMBER((Tasas!E9-Datos!BG9)/Datos!BG9),(Tasas!E9-Datos!BG9)/Datos!BG9," - ")</f>
        <v>0.16394421764812059</v>
      </c>
      <c r="M9" t="e">
        <f>IF(Monitorios="SI",Datos!CE9,0)</f>
        <v>#REF!</v>
      </c>
      <c r="N9" t="e">
        <f>IF(Monitorios="SI",Datos!CF9,0)</f>
        <v>#REF!</v>
      </c>
      <c r="O9" t="e">
        <f>IF(Monitorios="SI",Datos!CG9,0)</f>
        <v>#REF!</v>
      </c>
      <c r="P9" t="e">
        <f>IF(Monitorios="SI",Datos!CH9,0)</f>
        <v>#REF!</v>
      </c>
      <c r="Q9">
        <f>IF(J_V="SI",0,Datos!AG9)</f>
        <v>251</v>
      </c>
      <c r="R9">
        <f>IF(J_V="SI",0,Datos!AH9)</f>
        <v>238</v>
      </c>
      <c r="S9">
        <f>IF(J_V="SI",0,Datos!AI9)</f>
        <v>270</v>
      </c>
      <c r="T9">
        <f>IF(J_V="SI",0,Datos!AJ9)</f>
        <v>249</v>
      </c>
    </row>
    <row r="10" spans="2:20" ht="14.25">
      <c r="B10" s="300" t="s">
        <v>321</v>
      </c>
      <c r="C10" s="7" t="str">
        <f>Datos!A10</f>
        <v>Jdos. Violencia contra la mujer</v>
      </c>
      <c r="D10" s="397">
        <f>IF(ISNUMBER((Datos!I10-Datos!S10)/Datos!S10),(Datos!I10-Datos!S10)/Datos!S10," - ")</f>
        <v>-0.25974025974025972</v>
      </c>
      <c r="E10" s="393">
        <f>IF(ISNUMBER((Datos!J10-Datos!T10)/Datos!T10),(Datos!J10-Datos!T10)/Datos!T10," - ")</f>
        <v>-0.25</v>
      </c>
      <c r="F10" s="393">
        <f>IF(ISNUMBER((Datos!K10-Datos!U10)/Datos!U10),(Datos!K10-Datos!U10)/Datos!U10," - ")</f>
        <v>-0.29411764705882354</v>
      </c>
      <c r="G10" s="394">
        <f>IF(ISNUMBER((Datos!L10-Datos!V10)/Datos!V10),(Datos!L10-Datos!V10)/Datos!V10," - ")</f>
        <v>-0.24503311258278146</v>
      </c>
      <c r="H10" s="244">
        <f>IF(ISNUMBER((Datos!M10-Datos!W10)/Datos!W10),(Datos!M10-Datos!W10)/Datos!W10," - ")</f>
        <v>-0.30769230769230771</v>
      </c>
      <c r="I10" s="395">
        <f>IF(ISNUMBER((Tasas!C10-Datos!BE10)/Datos!BE10),(Tasas!C10-Datos!BE10)/Datos!BE10," - ")</f>
        <v>6.95364238410595E-2</v>
      </c>
      <c r="J10" s="394">
        <f>IF(ISNUMBER((Tasas!D10-Datos!BF10)/Datos!BF10),(Tasas!D10-Datos!BF10)/Datos!BF10," - ")</f>
        <v>-1.9230769230769162E-2</v>
      </c>
      <c r="K10" s="396">
        <f>IF(ISNUMBER((Tasas!E10-Datos!BG10)/Datos!BG10),(Tasas!E10-Datos!BG10)/Datos!BG10," - ")</f>
        <v>5.1980198019802019E-2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-4.553415061295972E-2</v>
      </c>
      <c r="I14" s="402">
        <f>IF(ISNUMBER((Tasas!C14-Datos!BE14)/Datos!BE14),(Tasas!C14-Datos!BE14)/Datos!BE14," - ")</f>
        <v>0.26421765052426238</v>
      </c>
      <c r="J14" s="400">
        <f>IF(ISNUMBER((Tasas!D14-Datos!BF14)/Datos!BF14),(Tasas!D14-Datos!BF14)/Datos!BF14," - ")</f>
        <v>-0.46745808997822846</v>
      </c>
      <c r="K14" s="403">
        <f>IF(ISNUMBER((Tasas!E14-Datos!BG14)/Datos!BG14),(Tasas!E14-Datos!BG14)/Datos!BG14," - ")</f>
        <v>0.15968622470086899</v>
      </c>
      <c r="M14" t="e">
        <f>IF(Monitorios="SI",Datos!CE14,0)</f>
        <v>#REF!</v>
      </c>
      <c r="N14" t="e">
        <f>IF(Monitorios="SI",Datos!CF14,0)</f>
        <v>#REF!</v>
      </c>
      <c r="O14" t="e">
        <f>IF(Monitorios="SI",Datos!CG14,0)</f>
        <v>#REF!</v>
      </c>
      <c r="P14" t="e">
        <f>IF(Monitorios="SI",Datos!CH14,0)</f>
        <v>#REF!</v>
      </c>
      <c r="Q14">
        <f>IF(J_V="SI",0,Datos!AG14)</f>
        <v>251</v>
      </c>
      <c r="R14">
        <f>IF(J_V="SI",0,Datos!AH14)</f>
        <v>238</v>
      </c>
      <c r="S14">
        <f>IF(J_V="SI",0,Datos!AI14)</f>
        <v>270</v>
      </c>
      <c r="T14">
        <f>IF(J_V="SI",0,Datos!AJ14)</f>
        <v>249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4.1007615700058581E-3</v>
      </c>
      <c r="E16" s="393">
        <f>IF(ISNUMBER(
   IF(D_I="SI",(Datos!J16-Datos!T16)/Datos!T16,(Datos!J16+Datos!AD16-(Datos!T16+Datos!AL16))/(Datos!T16+Datos!AL16))
     ),IF(D_I="SI",(Datos!J16-Datos!T16)/Datos!T16,(Datos!J16+Datos!AD16-(Datos!T16+Datos!AL16))/(Datos!T16+Datos!AL16))," - ")</f>
        <v>5.3465346534653464E-2</v>
      </c>
      <c r="F16" s="393">
        <f>IF(ISNUMBER(
   IF(D_I="SI",(Datos!K16-Datos!U16)/Datos!U16,(Datos!K16+Datos!AE16-(Datos!U16+Datos!AM16))/(Datos!U16+Datos!AM16))
     ),IF(D_I="SI",(Datos!K16-Datos!U16)/Datos!U16,(Datos!K16+Datos!AE16-(Datos!U16+Datos!AM16))/(Datos!U16+Datos!AM16))," - ")</f>
        <v>-3.2314410480349345E-2</v>
      </c>
      <c r="G16" s="394">
        <f>IF(ISNUMBER(
   IF(D_I="SI",(Datos!L16-Datos!V16)/Datos!V16,(Datos!L16+Datos!AF16-(Datos!V16+Datos!AN16))/(Datos!V16+Datos!AN16))
     ),IF(D_I="SI",(Datos!L16-Datos!V16)/Datos!V16,(Datos!L16+Datos!AF16-(Datos!V16+Datos!AN16))/(Datos!V16+Datos!AN16))," - ")</f>
        <v>0.14768806073153901</v>
      </c>
      <c r="H16" s="244">
        <f>IF(ISNUMBER((Datos!M16-Datos!W16)/Datos!W16),(Datos!M16-Datos!W16)/Datos!W16," - ")</f>
        <v>8.2725060827250604E-2</v>
      </c>
      <c r="I16" s="395">
        <f>IF(ISNUMBER((Tasas!C16-Datos!BE16)/Datos!BE16),(Tasas!C16-Datos!BE16)/Datos!BE16," - ")</f>
        <v>0.18601338405921675</v>
      </c>
      <c r="J16" s="394">
        <f>IF(ISNUMBER((Tasas!D16-Datos!BF16)/Datos!BF16),(Tasas!D16-Datos!BF16)/Datos!BF16," - ")</f>
        <v>0.1188810421003627</v>
      </c>
      <c r="K16" s="396">
        <f>IF(ISNUMBER((Tasas!E16-Datos!BG16)/Datos!BG16),(Tasas!E16-Datos!BG16)/Datos!BG16," - ")</f>
        <v>6.5279805187823434E-2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-0.33333333333333331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-6.2780269058295965E-2</v>
      </c>
      <c r="E18" s="393">
        <f>IF(ISNUMBER(
   IF(D_I="SI",(Datos!J18-Datos!T18)/Datos!T18,(Datos!J18+Datos!AD18-(Datos!T18+Datos!AL18))/(Datos!T18+Datos!AL18))
     ),IF(D_I="SI",(Datos!J18-Datos!T18)/Datos!T18,(Datos!J18+Datos!AD18-(Datos!T18+Datos!AL18))/(Datos!T18+Datos!AL18))," - ")</f>
        <v>0.22258064516129034</v>
      </c>
      <c r="F18" s="393">
        <f>IF(ISNUMBER(
   IF(D_I="SI",(Datos!K18-Datos!U18)/Datos!U18,(Datos!K18+Datos!AE18-(Datos!U18+Datos!AM18))/(Datos!U18+Datos!AM18))
     ),IF(D_I="SI",(Datos!K18-Datos!U18)/Datos!U18,(Datos!K18+Datos!AE18-(Datos!U18+Datos!AM18))/(Datos!U18+Datos!AM18))," - ")</f>
        <v>2.5139664804469275E-2</v>
      </c>
      <c r="G18" s="394">
        <f>IF(ISNUMBER(
   IF(D_I="SI",(Datos!L18-Datos!V18)/Datos!V18,(Datos!L18+Datos!AF18-(Datos!V18+Datos!AN18))/(Datos!V18+Datos!AN18))
     ),IF(D_I="SI",(Datos!L18-Datos!V18)/Datos!V18,(Datos!L18+Datos!AF18-(Datos!V18+Datos!AN18))/(Datos!V18+Datos!AN18))," - ")</f>
        <v>0.26285714285714284</v>
      </c>
      <c r="H18" s="244">
        <f>IF(ISNUMBER((Datos!M18-Datos!W18)/Datos!W18),(Datos!M18-Datos!W18)/Datos!W18," - ")</f>
        <v>0.20754716981132076</v>
      </c>
      <c r="I18" s="395">
        <f>IF(ISNUMBER((Tasas!C18-Datos!BE18)/Datos!BE18),(Tasas!C18-Datos!BE18)/Datos!BE18," - ")</f>
        <v>0.23188789412222655</v>
      </c>
      <c r="J18" s="394">
        <f>IF(ISNUMBER((Tasas!D18-Datos!BF18)/Datos!BF18),(Tasas!D18-Datos!BF18)/Datos!BF18," - ")</f>
        <v>0.17793429643720104</v>
      </c>
      <c r="K18" s="396">
        <f>IF(ISNUMBER((Tasas!E18-Datos!BG18)/Datos!BG18),(Tasas!E18-Datos!BG18)/Datos!BG18," - ")</f>
        <v>7.6135800133939308E-2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-4.6535677352637023E-3</v>
      </c>
      <c r="E23" s="399">
        <f>IF(ISNUMBER(
   IF(D_I="SI",(Datos!J23-Datos!T23)/Datos!T23,(Datos!J23+Datos!AD23-(Datos!T23+Datos!AL23))/(Datos!T23+Datos!AL23))
     ),IF(D_I="SI",(Datos!J23-Datos!T23)/Datos!T23,(Datos!J23+Datos!AD23-(Datos!T23+Datos!AL23))/(Datos!T23+Datos!AL23))," - ")</f>
        <v>7.5965665236051499E-2</v>
      </c>
      <c r="F23" s="399">
        <f>IF(ISNUMBER(
   IF(D_I="SI",(Datos!K23-Datos!U23)/Datos!U23,(Datos!K23+Datos!AE23-(Datos!U23+Datos!AM23))/(Datos!U23+Datos!AM23))
     ),IF(D_I="SI",(Datos!K23-Datos!U23)/Datos!U23,(Datos!K23+Datos!AE23-(Datos!U23+Datos!AM23))/(Datos!U23+Datos!AM23))," - ")</f>
        <v>-2.491506228765572E-2</v>
      </c>
      <c r="G23" s="400">
        <f>IF(ISNUMBER(
   IF(D_I="SI",(Datos!L23-Datos!V23)/Datos!V23,(Datos!L23+Datos!AF23-(Datos!V23+Datos!AN23))/(Datos!V23+Datos!AN23))
     ),IF(D_I="SI",(Datos!L23-Datos!V23)/Datos!V23,(Datos!L23+Datos!AF23-(Datos!V23+Datos!AN23))/(Datos!V23+Datos!AN23))," - ")</f>
        <v>0.15918869084204057</v>
      </c>
      <c r="H23" s="401">
        <f>IF(ISNUMBER((Datos!M23-Datos!W23)/Datos!W23),(Datos!M23-Datos!W23)/Datos!W23," - ")</f>
        <v>9.6982758620689655E-2</v>
      </c>
      <c r="I23" s="402">
        <f>IF(ISNUMBER((Tasas!C23-Datos!BE23)/Datos!BE23),(Tasas!C23-Datos!BE23)/Datos!BE23," - ")</f>
        <v>0.18880791406913106</v>
      </c>
      <c r="J23" s="400">
        <f>IF(ISNUMBER((Tasas!D23-Datos!BF23)/Datos!BF23),(Tasas!D23-Datos!BF23)/Datos!BF23," - ")</f>
        <v>0.12501251551924389</v>
      </c>
      <c r="K23" s="403">
        <f>IF(ISNUMBER((Tasas!E23-Datos!BG23)/Datos!BG23),(Tasas!E23-Datos!BG23)/Datos!BG23," - ")</f>
        <v>6.5958035618951777E-2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7.9195474544311757E-3</v>
      </c>
      <c r="E31" s="409">
        <f>IF(ISNUMBER(
   IF(J_V="SI",(Datos!J31-Datos!T31)/Datos!T31,(Datos!J31+Datos!Z31-(Datos!T31+Datos!AH31))/(Datos!T31+Datos!AH31))
     ),IF(J_V="SI",(Datos!J31-Datos!T31)/Datos!T31,(Datos!J31+Datos!Z31-(Datos!T31+Datos!AH31))/(Datos!T31+Datos!AH31))," - ")</f>
        <v>9.5990027010180765E-2</v>
      </c>
      <c r="F31" s="409">
        <f>IF(ISNUMBER(
   IF(J_V="SI",(Datos!K31-Datos!U31)/Datos!U31,(Datos!K31+Datos!AA31-(Datos!U31+Datos!AI31))/(Datos!U31+Datos!AI31))
     ),IF(J_V="SI",(Datos!K31-Datos!U31)/Datos!U31,(Datos!K31+Datos!AA31-(Datos!U31+Datos!AI31))/(Datos!U31+Datos!AI31))," - ")</f>
        <v>-6.3357774017672494E-2</v>
      </c>
      <c r="G31" s="410">
        <f>IF(ISNUMBER(
   IF(J_V="SI",(Datos!L31-Datos!V31)/Datos!V31,(Datos!L31+Datos!AB31-(Datos!V31+Datos!AJ31))/(Datos!V31+Datos!AJ31))
     ),IF(J_V="SI",(Datos!L31-Datos!V31)/Datos!V31,(Datos!L31+Datos!AB31-(Datos!V31+Datos!AJ31))/(Datos!V31+Datos!AJ31))," - ")</f>
        <v>0.14106583072100312</v>
      </c>
      <c r="H31" s="411">
        <f>IF(ISNUMBER((Datos!M31-Datos!W31)/Datos!W31),(Datos!M31-Datos!W31)/Datos!W31," - ")</f>
        <v>1.8357487922705314E-2</v>
      </c>
      <c r="I31" s="408">
        <f>IF(ISNUMBER((Tasas!C31-Datos!BE31)/Datos!BE31),(Tasas!C31-Datos!BE31)/Datos!BE31," - ")</f>
        <v>0.21825153625150859</v>
      </c>
      <c r="J31" s="409">
        <f>IF(ISNUMBER((Tasas!D31-Datos!BF31)/Datos!BF31),(Tasas!D31-Datos!BF31)/Datos!BF31," - ")</f>
        <v>-0.29800607201521229</v>
      </c>
      <c r="K31" s="410">
        <f>IF(ISNUMBER((Tasas!E31-Datos!BG31)/Datos!BG31),(Tasas!E31-Datos!BG31)/Datos!BG31," - ")</f>
        <v>0.111543332312113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0.21561243801402064</v>
      </c>
      <c r="E33" s="303">
        <f t="shared" si="1"/>
        <v>0.19838504197455673</v>
      </c>
      <c r="F33" s="303">
        <f t="shared" si="1"/>
        <v>0.42925427538931205</v>
      </c>
      <c r="G33" s="304">
        <f t="shared" si="1"/>
        <v>0.2680410944751539</v>
      </c>
      <c r="H33" s="310">
        <f t="shared" si="1"/>
        <v>0.17729268693814382</v>
      </c>
      <c r="I33" s="302">
        <f t="shared" si="1"/>
        <v>7.4387534016109494E-2</v>
      </c>
      <c r="J33" s="303">
        <f t="shared" si="1"/>
        <v>0.30238261219259976</v>
      </c>
      <c r="K33" s="304">
        <f t="shared" si="1"/>
        <v>5.0680965447449669E-2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QdyTZy20pKk5af/arqSIwELEGedu9psu1cVakvzQmWxfYMjs8AZi2EwlpnPPgoIqWj3+aPKHkkYyGdY7fj1Cg==" saltValue="bvpAnrGMwtqja1/Zm8oA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